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xr:revisionPtr revIDLastSave="9" documentId="13_ncr:1_{12A829A2-6790-4604-ABAE-05E88800C721}" xr6:coauthVersionLast="45" xr6:coauthVersionMax="45" xr10:uidLastSave="{2D21447E-2B69-4AE6-B8BB-9FFCBA345F1F}"/>
  <bookViews>
    <workbookView xWindow="-42615" yWindow="1860" windowWidth="21600" windowHeight="11385" tabRatio="699" xr2:uid="{00000000-000D-0000-FFFF-FFFF00000000}"/>
  </bookViews>
  <sheets>
    <sheet name="4D-CDR-2020" sheetId="1" r:id="rId1"/>
    <sheet name="4D 773b 2020" sheetId="3" r:id="rId2"/>
    <sheet name="Release 16 SOF Data Entry" sheetId="5" r:id="rId3"/>
    <sheet name="Tax Rates Early Years" sheetId="7" r:id="rId4"/>
    <sheet name="RPP Calculation" sheetId="6" r:id="rId5"/>
    <sheet name="4D-CDR-2020 Instr" sheetId="2" r:id="rId6"/>
  </sheets>
  <externalReferences>
    <externalReference r:id="rId7"/>
  </externalReferences>
  <definedNames>
    <definedName name="_xlnm.Print_Area" localSheetId="0">'4D-CDR-2020'!$A$1:$S$62</definedName>
    <definedName name="_xlnm.Print_Area" localSheetId="5">'4D-CDR-2020 Instr'!$A$1:$A$25</definedName>
    <definedName name="Z_0D3E1162_75D5_41D6_B7F3_27A55EA8EB2C_.wvu.PrintArea" localSheetId="0" hidden="1">'4D-CDR-2020'!$A$2:$S$62</definedName>
    <definedName name="Z_0D3E1162_75D5_41D6_B7F3_27A55EA8EB2C_.wvu.PrintArea" localSheetId="5"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80" i="5" l="1"/>
  <c r="AB379" i="5"/>
  <c r="AB378" i="5"/>
  <c r="C224" i="5"/>
  <c r="C223" i="5"/>
  <c r="C222" i="5"/>
  <c r="C221" i="5"/>
  <c r="C220" i="5"/>
  <c r="C219" i="5"/>
  <c r="C218" i="5"/>
  <c r="C217" i="5"/>
  <c r="S215" i="5"/>
  <c r="Q215" i="5"/>
  <c r="K213" i="5"/>
  <c r="G213" i="5"/>
  <c r="E213" i="5"/>
  <c r="C213" i="5"/>
  <c r="W212" i="5"/>
  <c r="W210" i="5"/>
  <c r="W209" i="5"/>
  <c r="G209" i="5"/>
  <c r="E209" i="5"/>
  <c r="C209" i="5"/>
  <c r="Z199" i="5"/>
  <c r="Y199" i="5"/>
  <c r="Y200" i="5" s="1"/>
  <c r="X199" i="5"/>
  <c r="W199" i="5"/>
  <c r="Z198" i="5"/>
  <c r="Z200" i="5" s="1"/>
  <c r="Y198" i="5"/>
  <c r="X198" i="5"/>
  <c r="E179" i="5"/>
  <c r="E178" i="5"/>
  <c r="E177" i="5"/>
  <c r="E176" i="5"/>
  <c r="E174" i="5"/>
  <c r="E173" i="5"/>
  <c r="E172" i="5"/>
  <c r="E171" i="5"/>
  <c r="E170" i="5"/>
  <c r="E169" i="5"/>
  <c r="E168" i="5"/>
  <c r="E167" i="5"/>
  <c r="E166" i="5"/>
  <c r="E165" i="5"/>
  <c r="E164" i="5"/>
  <c r="E163" i="5"/>
  <c r="O162" i="5"/>
  <c r="Q162" i="5" s="1"/>
  <c r="S162" i="5" s="1"/>
  <c r="M162" i="5"/>
  <c r="K162" i="5"/>
  <c r="E161" i="5"/>
  <c r="K161" i="5" s="1"/>
  <c r="M161" i="5" s="1"/>
  <c r="O161" i="5" s="1"/>
  <c r="Q161" i="5" s="1"/>
  <c r="S161" i="5" s="1"/>
  <c r="E160" i="5"/>
  <c r="E159" i="5"/>
  <c r="G159" i="5" s="1"/>
  <c r="G158" i="5"/>
  <c r="G221" i="5" s="1"/>
  <c r="E158" i="5"/>
  <c r="E221" i="5" s="1"/>
  <c r="S157" i="5"/>
  <c r="Q157" i="5"/>
  <c r="O157" i="5"/>
  <c r="M157" i="5"/>
  <c r="K157" i="5"/>
  <c r="I156" i="5"/>
  <c r="G156" i="5"/>
  <c r="E156" i="5"/>
  <c r="K156" i="5" s="1"/>
  <c r="M156" i="5" s="1"/>
  <c r="O156" i="5" s="1"/>
  <c r="Q156" i="5" s="1"/>
  <c r="S156" i="5" s="1"/>
  <c r="M155" i="5"/>
  <c r="K155" i="5"/>
  <c r="G155" i="5"/>
  <c r="E155" i="5"/>
  <c r="C155" i="5"/>
  <c r="M147" i="5"/>
  <c r="O146" i="5"/>
  <c r="Q146" i="5" s="1"/>
  <c r="S146" i="5" s="1"/>
  <c r="G146" i="5"/>
  <c r="I146" i="5" s="1"/>
  <c r="O145" i="5"/>
  <c r="Q145" i="5" s="1"/>
  <c r="S145" i="5" s="1"/>
  <c r="G145" i="5"/>
  <c r="I145" i="5" s="1"/>
  <c r="O144" i="5"/>
  <c r="Q144" i="5" s="1"/>
  <c r="S144" i="5" s="1"/>
  <c r="O143" i="5"/>
  <c r="Q143" i="5" s="1"/>
  <c r="S143" i="5" s="1"/>
  <c r="O139" i="5"/>
  <c r="Q139" i="5" s="1"/>
  <c r="S139" i="5" s="1"/>
  <c r="O138" i="5"/>
  <c r="Q138" i="5" s="1"/>
  <c r="S138" i="5" s="1"/>
  <c r="S133" i="5"/>
  <c r="C130" i="5"/>
  <c r="M129" i="5"/>
  <c r="M126" i="5"/>
  <c r="O126" i="5" s="1"/>
  <c r="Q126" i="5" s="1"/>
  <c r="S126" i="5" s="1"/>
  <c r="O125" i="5"/>
  <c r="Q125" i="5" s="1"/>
  <c r="S125" i="5" s="1"/>
  <c r="M124" i="5"/>
  <c r="O124" i="5" s="1"/>
  <c r="Q124" i="5" s="1"/>
  <c r="S124" i="5" s="1"/>
  <c r="O123" i="5"/>
  <c r="Q123" i="5" s="1"/>
  <c r="S123" i="5" s="1"/>
  <c r="M122" i="5"/>
  <c r="O122" i="5" s="1"/>
  <c r="Q122" i="5" s="1"/>
  <c r="S122" i="5" s="1"/>
  <c r="K121" i="5"/>
  <c r="K120" i="5"/>
  <c r="M120" i="5" s="1"/>
  <c r="M101" i="5" s="1"/>
  <c r="M118" i="5"/>
  <c r="O118" i="5" s="1"/>
  <c r="Q118" i="5" s="1"/>
  <c r="S118" i="5" s="1"/>
  <c r="M117" i="5"/>
  <c r="O117" i="5" s="1"/>
  <c r="Q117" i="5" s="1"/>
  <c r="S117" i="5" s="1"/>
  <c r="K116" i="5"/>
  <c r="M116" i="5" s="1"/>
  <c r="O116" i="5" s="1"/>
  <c r="Q116" i="5" s="1"/>
  <c r="S116" i="5" s="1"/>
  <c r="K115" i="5"/>
  <c r="M115" i="5" s="1"/>
  <c r="O115" i="5" s="1"/>
  <c r="Q115" i="5" s="1"/>
  <c r="S115" i="5" s="1"/>
  <c r="M114" i="5"/>
  <c r="O114" i="5" s="1"/>
  <c r="Q114" i="5" s="1"/>
  <c r="S114" i="5" s="1"/>
  <c r="M113" i="5"/>
  <c r="O113" i="5" s="1"/>
  <c r="Q113" i="5" s="1"/>
  <c r="S113" i="5" s="1"/>
  <c r="M112" i="5"/>
  <c r="O112" i="5" s="1"/>
  <c r="Q112" i="5" s="1"/>
  <c r="S112" i="5" s="1"/>
  <c r="M111" i="5"/>
  <c r="O111" i="5" s="1"/>
  <c r="Q111" i="5" s="1"/>
  <c r="S111" i="5" s="1"/>
  <c r="M110" i="5"/>
  <c r="O110" i="5" s="1"/>
  <c r="Q110" i="5" s="1"/>
  <c r="S110" i="5" s="1"/>
  <c r="M109" i="5"/>
  <c r="O109" i="5" s="1"/>
  <c r="Q109" i="5" s="1"/>
  <c r="S109" i="5" s="1"/>
  <c r="M108" i="5"/>
  <c r="O108" i="5" s="1"/>
  <c r="Q108" i="5" s="1"/>
  <c r="S108" i="5" s="1"/>
  <c r="M107" i="5"/>
  <c r="O107" i="5" s="1"/>
  <c r="Q107" i="5" s="1"/>
  <c r="S107" i="5" s="1"/>
  <c r="M106" i="5"/>
  <c r="O106" i="5" s="1"/>
  <c r="Q106" i="5" s="1"/>
  <c r="S106" i="5" s="1"/>
  <c r="M105" i="5"/>
  <c r="O105" i="5" s="1"/>
  <c r="Q105" i="5" s="1"/>
  <c r="S105" i="5" s="1"/>
  <c r="M104" i="5"/>
  <c r="O104" i="5" s="1"/>
  <c r="Q104" i="5" s="1"/>
  <c r="S104" i="5" s="1"/>
  <c r="K100" i="5"/>
  <c r="E100" i="5"/>
  <c r="M95" i="5"/>
  <c r="W198" i="5" s="1"/>
  <c r="W200" i="5" s="1"/>
  <c r="S94" i="5"/>
  <c r="Q94" i="5"/>
  <c r="O94" i="5"/>
  <c r="M94" i="5"/>
  <c r="K94" i="5"/>
  <c r="K95" i="5" s="1"/>
  <c r="K96" i="5" s="1"/>
  <c r="E92" i="5"/>
  <c r="K92" i="5" s="1"/>
  <c r="M92" i="5" s="1"/>
  <c r="O92" i="5" s="1"/>
  <c r="Q91" i="5"/>
  <c r="Q133" i="5" s="1"/>
  <c r="Q155" i="5" s="1"/>
  <c r="O91" i="5"/>
  <c r="O133" i="5" s="1"/>
  <c r="O155" i="5" s="1"/>
  <c r="E88" i="5"/>
  <c r="E87" i="5"/>
  <c r="E86" i="5"/>
  <c r="E85" i="5"/>
  <c r="E84" i="5"/>
  <c r="E83" i="5"/>
  <c r="K80" i="5"/>
  <c r="M80" i="5" s="1"/>
  <c r="K79" i="5"/>
  <c r="M79" i="5" s="1"/>
  <c r="K78" i="5"/>
  <c r="G78" i="5"/>
  <c r="E78" i="5"/>
  <c r="K77" i="5"/>
  <c r="M77" i="5" s="1"/>
  <c r="G77" i="5"/>
  <c r="E77" i="5"/>
  <c r="K76" i="5"/>
  <c r="M76" i="5" s="1"/>
  <c r="G76" i="5"/>
  <c r="E76" i="5"/>
  <c r="K75" i="5"/>
  <c r="M75" i="5" s="1"/>
  <c r="G75" i="5"/>
  <c r="E75" i="5"/>
  <c r="K74" i="5"/>
  <c r="M74" i="5" s="1"/>
  <c r="G74" i="5"/>
  <c r="E74" i="5"/>
  <c r="M73" i="5"/>
  <c r="K73" i="5"/>
  <c r="M78" i="5" s="1"/>
  <c r="G73" i="5"/>
  <c r="E73" i="5"/>
  <c r="M70" i="5"/>
  <c r="O70" i="5" s="1"/>
  <c r="Q70" i="5" s="1"/>
  <c r="S70" i="5" s="1"/>
  <c r="M69" i="5"/>
  <c r="O69" i="5" s="1"/>
  <c r="Q69" i="5" s="1"/>
  <c r="S69" i="5" s="1"/>
  <c r="M67" i="5"/>
  <c r="O67" i="5" s="1"/>
  <c r="Q67" i="5" s="1"/>
  <c r="S67" i="5" s="1"/>
  <c r="M66" i="5"/>
  <c r="O66" i="5" s="1"/>
  <c r="Q66" i="5" s="1"/>
  <c r="S66" i="5" s="1"/>
  <c r="M65" i="5"/>
  <c r="O65" i="5" s="1"/>
  <c r="Q65" i="5" s="1"/>
  <c r="S65" i="5" s="1"/>
  <c r="M64" i="5"/>
  <c r="O64" i="5" s="1"/>
  <c r="Q64" i="5" s="1"/>
  <c r="S64" i="5" s="1"/>
  <c r="M63" i="5"/>
  <c r="O63" i="5" s="1"/>
  <c r="Q63" i="5" s="1"/>
  <c r="S63" i="5" s="1"/>
  <c r="M62" i="5"/>
  <c r="O62" i="5" s="1"/>
  <c r="Q62" i="5" s="1"/>
  <c r="S62" i="5" s="1"/>
  <c r="M61" i="5"/>
  <c r="O61" i="5" s="1"/>
  <c r="Q61" i="5" s="1"/>
  <c r="S61" i="5" s="1"/>
  <c r="M60" i="5"/>
  <c r="O60" i="5" s="1"/>
  <c r="M56" i="5"/>
  <c r="O56" i="5" s="1"/>
  <c r="Q56" i="5" s="1"/>
  <c r="S56" i="5" s="1"/>
  <c r="M55" i="5"/>
  <c r="O55" i="5" s="1"/>
  <c r="Q55" i="5" s="1"/>
  <c r="S55" i="5" s="1"/>
  <c r="M54" i="5"/>
  <c r="O54" i="5" s="1"/>
  <c r="Q54" i="5" s="1"/>
  <c r="S54" i="5" s="1"/>
  <c r="M53" i="5"/>
  <c r="O53" i="5" s="1"/>
  <c r="Q53" i="5" s="1"/>
  <c r="S53" i="5" s="1"/>
  <c r="M52" i="5"/>
  <c r="O52" i="5" s="1"/>
  <c r="Q52" i="5" s="1"/>
  <c r="S52" i="5" s="1"/>
  <c r="M51" i="5"/>
  <c r="O51" i="5" s="1"/>
  <c r="Q51" i="5" s="1"/>
  <c r="S51" i="5" s="1"/>
  <c r="M50" i="5"/>
  <c r="O50" i="5" s="1"/>
  <c r="Q50" i="5" s="1"/>
  <c r="S50" i="5" s="1"/>
  <c r="M49" i="5"/>
  <c r="O49" i="5" s="1"/>
  <c r="Q49" i="5" s="1"/>
  <c r="S49" i="5" s="1"/>
  <c r="M48" i="5"/>
  <c r="O48" i="5" s="1"/>
  <c r="Q48" i="5" s="1"/>
  <c r="S48" i="5" s="1"/>
  <c r="M47" i="5"/>
  <c r="O47" i="5" s="1"/>
  <c r="Q47" i="5" s="1"/>
  <c r="S47" i="5" s="1"/>
  <c r="M46" i="5"/>
  <c r="O46" i="5" s="1"/>
  <c r="Q46" i="5" s="1"/>
  <c r="S46" i="5" s="1"/>
  <c r="M45" i="5"/>
  <c r="O45" i="5" s="1"/>
  <c r="Q45" i="5" s="1"/>
  <c r="S45" i="5" s="1"/>
  <c r="M44" i="5"/>
  <c r="O44" i="5" s="1"/>
  <c r="Q44" i="5" s="1"/>
  <c r="S44" i="5" s="1"/>
  <c r="M43" i="5"/>
  <c r="O43" i="5" s="1"/>
  <c r="Q43" i="5" s="1"/>
  <c r="S43" i="5" s="1"/>
  <c r="M42" i="5"/>
  <c r="O42" i="5" s="1"/>
  <c r="Q42" i="5" s="1"/>
  <c r="S42" i="5" s="1"/>
  <c r="M41" i="5"/>
  <c r="O41" i="5" s="1"/>
  <c r="Q41" i="5" s="1"/>
  <c r="S41" i="5" s="1"/>
  <c r="M40" i="5"/>
  <c r="O40" i="5" s="1"/>
  <c r="Q40" i="5" s="1"/>
  <c r="S40" i="5" s="1"/>
  <c r="M39" i="5"/>
  <c r="O39" i="5" s="1"/>
  <c r="Q39" i="5" s="1"/>
  <c r="S39" i="5" s="1"/>
  <c r="M38" i="5"/>
  <c r="O38" i="5" s="1"/>
  <c r="Q38" i="5" s="1"/>
  <c r="S38" i="5" s="1"/>
  <c r="M37" i="5"/>
  <c r="O37" i="5" s="1"/>
  <c r="Q37" i="5" s="1"/>
  <c r="S37" i="5" s="1"/>
  <c r="M36" i="5"/>
  <c r="O36" i="5" s="1"/>
  <c r="Q36" i="5" s="1"/>
  <c r="S36" i="5" s="1"/>
  <c r="M35" i="5"/>
  <c r="O35" i="5" s="1"/>
  <c r="Q35" i="5" s="1"/>
  <c r="S35" i="5" s="1"/>
  <c r="M34" i="5"/>
  <c r="O34" i="5" s="1"/>
  <c r="Q34" i="5" s="1"/>
  <c r="S34" i="5" s="1"/>
  <c r="M33" i="5"/>
  <c r="O33" i="5" s="1"/>
  <c r="Q33" i="5" s="1"/>
  <c r="S33" i="5" s="1"/>
  <c r="M32" i="5"/>
  <c r="O32" i="5" s="1"/>
  <c r="Q32" i="5" s="1"/>
  <c r="S32" i="5" s="1"/>
  <c r="M31" i="5"/>
  <c r="O31" i="5" s="1"/>
  <c r="Q31" i="5" s="1"/>
  <c r="S31" i="5" s="1"/>
  <c r="M30" i="5"/>
  <c r="O30" i="5" s="1"/>
  <c r="Q30" i="5" s="1"/>
  <c r="S30" i="5" s="1"/>
  <c r="M29" i="5"/>
  <c r="O29" i="5" s="1"/>
  <c r="Q29" i="5" s="1"/>
  <c r="S29" i="5" s="1"/>
  <c r="M28" i="5"/>
  <c r="O28" i="5" s="1"/>
  <c r="Q28" i="5" s="1"/>
  <c r="S28" i="5" s="1"/>
  <c r="M27" i="5"/>
  <c r="O27" i="5" s="1"/>
  <c r="Q27" i="5" s="1"/>
  <c r="S27" i="5" s="1"/>
  <c r="M26" i="5"/>
  <c r="O26" i="5" s="1"/>
  <c r="Q26" i="5" s="1"/>
  <c r="S26" i="5" s="1"/>
  <c r="M25" i="5"/>
  <c r="O25" i="5" s="1"/>
  <c r="Q25" i="5" s="1"/>
  <c r="S25" i="5" s="1"/>
  <c r="M24" i="5"/>
  <c r="O24" i="5" s="1"/>
  <c r="Q24" i="5" s="1"/>
  <c r="S24" i="5" s="1"/>
  <c r="M23" i="5"/>
  <c r="O23" i="5" s="1"/>
  <c r="Q23" i="5" s="1"/>
  <c r="S23" i="5" s="1"/>
  <c r="M21" i="5"/>
  <c r="O21" i="5" s="1"/>
  <c r="Q21" i="5" s="1"/>
  <c r="S21" i="5" s="1"/>
  <c r="M20" i="5"/>
  <c r="O20" i="5" s="1"/>
  <c r="Q20" i="5" s="1"/>
  <c r="S20" i="5" s="1"/>
  <c r="M19" i="5"/>
  <c r="O19" i="5" s="1"/>
  <c r="Q19" i="5" s="1"/>
  <c r="S19" i="5" s="1"/>
  <c r="B3" i="5"/>
  <c r="B1" i="5"/>
  <c r="M96" i="5" l="1"/>
  <c r="K159" i="5"/>
  <c r="K223" i="5" s="1"/>
  <c r="E217" i="5"/>
  <c r="E223" i="5"/>
  <c r="K101" i="5"/>
  <c r="G161" i="5"/>
  <c r="I161" i="5" s="1"/>
  <c r="E220" i="5"/>
  <c r="X200" i="5"/>
  <c r="G220" i="5"/>
  <c r="O93" i="5"/>
  <c r="O209" i="5" s="1"/>
  <c r="Q92" i="5"/>
  <c r="Q60" i="5"/>
  <c r="O213" i="5"/>
  <c r="M100" i="5"/>
  <c r="Y201" i="5"/>
  <c r="Y202" i="5" s="1"/>
  <c r="K93" i="5"/>
  <c r="K209" i="5" s="1"/>
  <c r="Z201" i="5"/>
  <c r="Z202" i="5"/>
  <c r="W201" i="5"/>
  <c r="W202" i="5" s="1"/>
  <c r="G223" i="5"/>
  <c r="I159" i="5"/>
  <c r="M93" i="5"/>
  <c r="M209" i="5" s="1"/>
  <c r="I158" i="5"/>
  <c r="E219" i="5"/>
  <c r="E222" i="5"/>
  <c r="M151" i="5"/>
  <c r="K158" i="5"/>
  <c r="M213" i="5"/>
  <c r="G222" i="5"/>
  <c r="E224" i="5"/>
  <c r="E218" i="5"/>
  <c r="W184" i="5"/>
  <c r="K160" i="5"/>
  <c r="G160" i="5"/>
  <c r="M159" i="5"/>
  <c r="H10" i="1"/>
  <c r="X201" i="5" l="1"/>
  <c r="X202" i="5" s="1"/>
  <c r="X203" i="5" s="1"/>
  <c r="Y203" i="5"/>
  <c r="Y204" i="5" s="1"/>
  <c r="W203" i="5"/>
  <c r="W204" i="5" s="1"/>
  <c r="Z203" i="5"/>
  <c r="Z204" i="5" s="1"/>
  <c r="Z205" i="5"/>
  <c r="W185" i="5"/>
  <c r="W190" i="5" s="1"/>
  <c r="K220" i="5"/>
  <c r="K221" i="5"/>
  <c r="M158" i="5"/>
  <c r="K222" i="5"/>
  <c r="M223" i="5"/>
  <c r="O159" i="5"/>
  <c r="G217" i="5"/>
  <c r="G218" i="5"/>
  <c r="G224" i="5"/>
  <c r="I160" i="5"/>
  <c r="G219" i="5"/>
  <c r="K217" i="5"/>
  <c r="K218" i="5"/>
  <c r="M160" i="5"/>
  <c r="K224" i="5"/>
  <c r="K219" i="5"/>
  <c r="S60" i="5"/>
  <c r="S213" i="5" s="1"/>
  <c r="Q213" i="5"/>
  <c r="Q93" i="5"/>
  <c r="Q209" i="5" s="1"/>
  <c r="S92" i="5"/>
  <c r="S93" i="5" s="1"/>
  <c r="S209" i="5" s="1"/>
  <c r="B3" i="6"/>
  <c r="C3" i="6"/>
  <c r="B4" i="6"/>
  <c r="C4" i="6"/>
  <c r="B5" i="6"/>
  <c r="C5" i="6"/>
  <c r="B6" i="6"/>
  <c r="C6" i="6"/>
  <c r="B7" i="6"/>
  <c r="C7"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D7" i="6"/>
  <c r="D6" i="6"/>
  <c r="D5" i="6"/>
  <c r="D4" i="6"/>
  <c r="D3" i="6"/>
  <c r="J21" i="1"/>
  <c r="X204" i="5" l="1"/>
  <c r="X205" i="5"/>
  <c r="F4" i="6"/>
  <c r="W186" i="5"/>
  <c r="O223" i="5"/>
  <c r="Q159" i="5"/>
  <c r="W205" i="5"/>
  <c r="Y205" i="5"/>
  <c r="M217" i="5"/>
  <c r="M218" i="5"/>
  <c r="O160" i="5"/>
  <c r="M224" i="5"/>
  <c r="M219" i="5"/>
  <c r="M220" i="5"/>
  <c r="M221" i="5"/>
  <c r="M222" i="5"/>
  <c r="O158" i="5"/>
  <c r="E6" i="6"/>
  <c r="E7" i="6"/>
  <c r="E4" i="6"/>
  <c r="G4" i="6" s="1"/>
  <c r="E5" i="6"/>
  <c r="F5" i="6"/>
  <c r="E3" i="6"/>
  <c r="F3" i="6"/>
  <c r="J23" i="1"/>
  <c r="K21" i="1"/>
  <c r="D8" i="6" s="1"/>
  <c r="J22" i="1"/>
  <c r="F6" i="6"/>
  <c r="F7" i="6"/>
  <c r="K23" i="1"/>
  <c r="K22" i="1"/>
  <c r="G7" i="6" l="1"/>
  <c r="G6" i="6"/>
  <c r="O221" i="5"/>
  <c r="O222" i="5"/>
  <c r="Q158" i="5"/>
  <c r="O220" i="5"/>
  <c r="W187" i="5"/>
  <c r="W188" i="5" s="1"/>
  <c r="W189" i="5" s="1"/>
  <c r="W191" i="5" s="1"/>
  <c r="W193" i="5" s="1"/>
  <c r="O218" i="5"/>
  <c r="Q160" i="5"/>
  <c r="O224" i="5"/>
  <c r="O219" i="5"/>
  <c r="O217" i="5"/>
  <c r="Q223" i="5"/>
  <c r="S159" i="5"/>
  <c r="G3" i="6"/>
  <c r="H3" i="6" s="1"/>
  <c r="G5" i="6"/>
  <c r="H5" i="6" s="1"/>
  <c r="J24" i="1"/>
  <c r="J25" i="1" s="1"/>
  <c r="F8" i="6"/>
  <c r="E8" i="6"/>
  <c r="D9" i="6"/>
  <c r="K24" i="1"/>
  <c r="D10" i="6"/>
  <c r="H6" i="6" l="1"/>
  <c r="H4" i="6"/>
  <c r="H7" i="6"/>
  <c r="W194" i="5"/>
  <c r="W195" i="5" s="1"/>
  <c r="Q221" i="5"/>
  <c r="Q222" i="5"/>
  <c r="S158" i="5"/>
  <c r="Q220" i="5"/>
  <c r="S160" i="5"/>
  <c r="Q218" i="5"/>
  <c r="Q224" i="5"/>
  <c r="Q219" i="5"/>
  <c r="Q217" i="5"/>
  <c r="G8" i="6"/>
  <c r="E9" i="6"/>
  <c r="F9" i="6"/>
  <c r="F10" i="6"/>
  <c r="E10" i="6"/>
  <c r="K25" i="1"/>
  <c r="D11" i="6"/>
  <c r="J26" i="1"/>
  <c r="G10" i="6" l="1"/>
  <c r="S218" i="5"/>
  <c r="S219" i="5"/>
  <c r="S217" i="5"/>
  <c r="S221" i="5"/>
  <c r="S222" i="5"/>
  <c r="S220" i="5"/>
  <c r="H8" i="6"/>
  <c r="O21" i="1" s="1"/>
  <c r="G9" i="6"/>
  <c r="E11" i="6"/>
  <c r="F11" i="6"/>
  <c r="K26" i="1"/>
  <c r="D12" i="6"/>
  <c r="J27" i="1"/>
  <c r="H9" i="6" l="1"/>
  <c r="H10" i="6"/>
  <c r="G11" i="6"/>
  <c r="E12" i="6"/>
  <c r="F12" i="6"/>
  <c r="K27" i="1"/>
  <c r="D13" i="6"/>
  <c r="J28" i="1"/>
  <c r="H11" i="6" l="1"/>
  <c r="O24" i="1" s="1"/>
  <c r="G12" i="6"/>
  <c r="F13" i="6"/>
  <c r="E13" i="6"/>
  <c r="K28" i="1"/>
  <c r="D14" i="6"/>
  <c r="J29" i="1"/>
  <c r="H12" i="6" l="1"/>
  <c r="O25" i="1" s="1"/>
  <c r="G13" i="6"/>
  <c r="E14" i="6"/>
  <c r="F14" i="6"/>
  <c r="K29" i="1"/>
  <c r="D15" i="6"/>
  <c r="J30" i="1"/>
  <c r="H13" i="6" l="1"/>
  <c r="O26" i="1" s="1"/>
  <c r="G14" i="6"/>
  <c r="F15" i="6"/>
  <c r="E15" i="6"/>
  <c r="K30" i="1"/>
  <c r="D16" i="6"/>
  <c r="J31" i="1"/>
  <c r="H14" i="6" l="1"/>
  <c r="O27" i="1" s="1"/>
  <c r="G15" i="6"/>
  <c r="F16" i="6"/>
  <c r="E16" i="6"/>
  <c r="K31" i="1"/>
  <c r="D17" i="6"/>
  <c r="J32" i="1"/>
  <c r="G16" i="6" l="1"/>
  <c r="H16" i="6" s="1"/>
  <c r="O29" i="1" s="1"/>
  <c r="H15" i="6"/>
  <c r="O28" i="1" s="1"/>
  <c r="E17" i="6"/>
  <c r="F17" i="6"/>
  <c r="K32" i="1"/>
  <c r="D18" i="6"/>
  <c r="J33" i="1"/>
  <c r="E18" i="6" l="1"/>
  <c r="F18" i="6"/>
  <c r="G17" i="6"/>
  <c r="K33" i="1"/>
  <c r="D19" i="6"/>
  <c r="J34" i="1"/>
  <c r="H17" i="6" l="1"/>
  <c r="O30" i="1" s="1"/>
  <c r="G18" i="6"/>
  <c r="E19" i="6"/>
  <c r="F19" i="6"/>
  <c r="K34" i="1"/>
  <c r="D20" i="6"/>
  <c r="J35" i="1"/>
  <c r="H18" i="6" l="1"/>
  <c r="O31" i="1" s="1"/>
  <c r="G19" i="6"/>
  <c r="E20" i="6"/>
  <c r="F20" i="6"/>
  <c r="K35" i="1"/>
  <c r="D21" i="6"/>
  <c r="J36" i="1"/>
  <c r="H19" i="6" l="1"/>
  <c r="O32" i="1" s="1"/>
  <c r="E21" i="6"/>
  <c r="F21" i="6"/>
  <c r="K36" i="1"/>
  <c r="D22" i="6"/>
  <c r="G20" i="6"/>
  <c r="J37" i="1"/>
  <c r="H20" i="6" l="1"/>
  <c r="O33" i="1" s="1"/>
  <c r="G21" i="6"/>
  <c r="F22" i="6"/>
  <c r="E22" i="6"/>
  <c r="K37" i="1"/>
  <c r="D23" i="6"/>
  <c r="H21" i="6" l="1"/>
  <c r="O34" i="1" s="1"/>
  <c r="D24" i="6"/>
  <c r="E23" i="6"/>
  <c r="F23" i="6"/>
  <c r="G22" i="6"/>
  <c r="H22" i="6" l="1"/>
  <c r="O35" i="1" s="1"/>
  <c r="D25" i="6"/>
  <c r="G23" i="6"/>
  <c r="E24" i="6"/>
  <c r="F24" i="6"/>
  <c r="H23" i="6" l="1"/>
  <c r="O36" i="1" s="1"/>
  <c r="D26" i="6"/>
  <c r="G24" i="6"/>
  <c r="E25" i="6"/>
  <c r="F25" i="6"/>
  <c r="G25" i="6" l="1"/>
  <c r="H25" i="6" s="1"/>
  <c r="H24" i="6"/>
  <c r="O37" i="1" s="1"/>
  <c r="D27" i="6"/>
  <c r="E26" i="6"/>
  <c r="F26" i="6"/>
  <c r="G26" i="6" l="1"/>
  <c r="E27" i="6"/>
  <c r="F27" i="6"/>
  <c r="D28" i="6"/>
  <c r="H26" i="6" l="1"/>
  <c r="D29" i="6"/>
  <c r="G27" i="6"/>
  <c r="E28" i="6"/>
  <c r="F28" i="6"/>
  <c r="G28" i="6" l="1"/>
  <c r="H27" i="6"/>
  <c r="E29" i="6"/>
  <c r="F29" i="6"/>
  <c r="D30" i="6"/>
  <c r="H28" i="6" l="1"/>
  <c r="E30" i="6"/>
  <c r="F30" i="6"/>
  <c r="D32" i="6"/>
  <c r="D31" i="6"/>
  <c r="G29" i="6"/>
  <c r="H6" i="1"/>
  <c r="H7" i="1"/>
  <c r="H8" i="1"/>
  <c r="H5" i="1"/>
  <c r="F21" i="1"/>
  <c r="G21" i="1"/>
  <c r="H21" i="1"/>
  <c r="L21" i="1" s="1"/>
  <c r="I21" i="1"/>
  <c r="M21" i="1" s="1"/>
  <c r="F22" i="1"/>
  <c r="G22" i="1"/>
  <c r="H22" i="1"/>
  <c r="L22" i="1" s="1"/>
  <c r="F23" i="1"/>
  <c r="G23" i="1"/>
  <c r="H23" i="1"/>
  <c r="L23" i="1" s="1"/>
  <c r="I23" i="1"/>
  <c r="M23" i="1" s="1"/>
  <c r="F24" i="1"/>
  <c r="G24" i="1"/>
  <c r="H24" i="1"/>
  <c r="L24" i="1" s="1"/>
  <c r="I24" i="1"/>
  <c r="F25" i="1"/>
  <c r="G25" i="1"/>
  <c r="H25" i="1"/>
  <c r="L25" i="1" s="1"/>
  <c r="I25" i="1"/>
  <c r="F26" i="1"/>
  <c r="G26" i="1"/>
  <c r="H26" i="1"/>
  <c r="I26" i="1"/>
  <c r="F27" i="1"/>
  <c r="G27" i="1"/>
  <c r="H27" i="1"/>
  <c r="L27" i="1" s="1"/>
  <c r="I27" i="1"/>
  <c r="F28" i="1"/>
  <c r="G28" i="1"/>
  <c r="H28" i="1"/>
  <c r="I28" i="1"/>
  <c r="F29" i="1"/>
  <c r="G29" i="1"/>
  <c r="H29" i="1"/>
  <c r="L29" i="1" s="1"/>
  <c r="I29" i="1"/>
  <c r="M29" i="1" s="1"/>
  <c r="F30" i="1"/>
  <c r="G30" i="1"/>
  <c r="H30" i="1"/>
  <c r="I30" i="1"/>
  <c r="F31" i="1"/>
  <c r="G31" i="1"/>
  <c r="H31" i="1"/>
  <c r="I31" i="1"/>
  <c r="F32" i="1"/>
  <c r="G32" i="1"/>
  <c r="H32" i="1"/>
  <c r="L32" i="1" s="1"/>
  <c r="I32" i="1"/>
  <c r="F33" i="1"/>
  <c r="G33" i="1"/>
  <c r="H33" i="1"/>
  <c r="L33" i="1" s="1"/>
  <c r="I33" i="1"/>
  <c r="F34" i="1"/>
  <c r="G34" i="1"/>
  <c r="H34" i="1"/>
  <c r="L34" i="1" s="1"/>
  <c r="I34" i="1"/>
  <c r="F35" i="1"/>
  <c r="G35" i="1"/>
  <c r="H35" i="1"/>
  <c r="L35" i="1" s="1"/>
  <c r="I35" i="1"/>
  <c r="F36" i="1"/>
  <c r="G36" i="1"/>
  <c r="H36" i="1"/>
  <c r="L36" i="1" s="1"/>
  <c r="I36" i="1"/>
  <c r="F37" i="1"/>
  <c r="G37" i="1"/>
  <c r="H37" i="1"/>
  <c r="L37" i="1" s="1"/>
  <c r="I37" i="1"/>
  <c r="M37" i="1" s="1"/>
  <c r="H13" i="1"/>
  <c r="H12" i="1"/>
  <c r="H11" i="1"/>
  <c r="H4" i="1"/>
  <c r="M34" i="1" l="1"/>
  <c r="N34" i="1" s="1"/>
  <c r="M35" i="1"/>
  <c r="N35" i="1" s="1"/>
  <c r="M26" i="1"/>
  <c r="L26" i="1"/>
  <c r="M28" i="1"/>
  <c r="L28" i="1"/>
  <c r="M31" i="1"/>
  <c r="L31" i="1"/>
  <c r="M32" i="1"/>
  <c r="N32" i="1" s="1"/>
  <c r="M30" i="1"/>
  <c r="L30" i="1"/>
  <c r="M25" i="1"/>
  <c r="N25" i="1" s="1"/>
  <c r="H29" i="6"/>
  <c r="E31" i="6"/>
  <c r="F31" i="6"/>
  <c r="F32" i="6"/>
  <c r="E32" i="6"/>
  <c r="G30" i="6"/>
  <c r="N29" i="1"/>
  <c r="N37" i="1"/>
  <c r="N23" i="1"/>
  <c r="N21" i="1"/>
  <c r="M24" i="1"/>
  <c r="N24" i="1" s="1"/>
  <c r="M33" i="1"/>
  <c r="N33" i="1" s="1"/>
  <c r="M27" i="1"/>
  <c r="N27" i="1" s="1"/>
  <c r="M22" i="1"/>
  <c r="N22" i="1" s="1"/>
  <c r="M36" i="1"/>
  <c r="N36" i="1" s="1"/>
  <c r="N30" i="1" l="1"/>
  <c r="N26" i="1"/>
  <c r="N28" i="1"/>
  <c r="N31" i="1"/>
  <c r="G32" i="6"/>
  <c r="H30" i="6"/>
  <c r="G31" i="6"/>
  <c r="Q47" i="1"/>
  <c r="P47" i="1"/>
  <c r="F47" i="1"/>
  <c r="N47" i="1" l="1"/>
  <c r="H31" i="6"/>
  <c r="H32" i="6"/>
  <c r="O47" i="1" l="1"/>
</calcChain>
</file>

<file path=xl/sharedStrings.xml><?xml version="1.0" encoding="utf-8"?>
<sst xmlns="http://schemas.openxmlformats.org/spreadsheetml/2006/main" count="743" uniqueCount="514">
  <si>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</si>
  <si>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</si>
  <si>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</si>
  <si>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</si>
  <si>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</si>
  <si>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</si>
  <si>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</si>
  <si>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</si>
  <si>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</si>
  <si>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</si>
  <si>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</si>
  <si>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</si>
  <si>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</si>
  <si>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</si>
  <si>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</si>
  <si>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</si>
  <si>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</si>
  <si>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</si>
  <si>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</si>
  <si>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</si>
  <si>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</si>
  <si>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</si>
  <si>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</si>
  <si>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</si>
  <si>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</si>
  <si>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</si>
  <si>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</si>
  <si>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</si>
  <si>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</si>
  <si>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</si>
  <si>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</si>
  <si>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</si>
  <si>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</si>
  <si>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</si>
  <si>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</si>
  <si>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</si>
  <si>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</si>
  <si>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</si>
  <si>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</si>
  <si>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</si>
  <si>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</si>
  <si>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</si>
  <si>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</si>
  <si>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</si>
  <si>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</si>
  <si>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</si>
  <si>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</si>
  <si>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</si>
  <si>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</si>
  <si>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</si>
  <si>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</si>
  <si>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</si>
  <si>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</si>
  <si>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</si>
  <si>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</si>
  <si>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</si>
  <si>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</si>
  <si>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</si>
  <si>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</si>
  <si>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</si>
  <si>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</si>
  <si>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</si>
  <si>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</si>
  <si>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</si>
  <si>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</si>
  <si>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</si>
  <si>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</si>
  <si>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</si>
  <si>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</si>
  <si>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</si>
  <si>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</si>
  <si>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</si>
  <si>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</si>
  <si>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</si>
  <si>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</si>
  <si>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</si>
  <si>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</si>
  <si>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</si>
  <si>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</si>
  <si>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</si>
  <si>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</si>
  <si>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</si>
  <si>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</si>
  <si>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</si>
  <si>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</si>
  <si>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</si>
  <si>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</si>
  <si>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</si>
  <si>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</si>
  <si>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</si>
  <si>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</si>
  <si>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</si>
  <si>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</si>
  <si>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</si>
  <si>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</si>
  <si>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</si>
  <si>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</si>
  <si>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</si>
  <si>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</si>
  <si>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</si>
  <si>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</si>
  <si>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</si>
  <si>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</si>
  <si>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</si>
  <si>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</si>
  <si>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</si>
  <si>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</si>
  <si>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</si>
  <si>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</si>
  <si>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</si>
  <si>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</si>
  <si>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</si>
  <si>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</si>
  <si>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</si>
  <si>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</si>
  <si>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773-4D-2020-T3</t>
  </si>
  <si>
    <t>Four-Digit Chapter 313 projects - 50-773B Form - Investment and Value Table - 2020 (Excel Workbook Tab #3)</t>
  </si>
  <si>
    <t>Name of agreement holder responsible for 313 reporting</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</si>
  <si>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</si>
  <si>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</si>
  <si>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</si>
  <si>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</si>
  <si>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</si>
  <si>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</si>
  <si>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</si>
  <si>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</si>
  <si>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</si>
  <si>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</si>
  <si>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</si>
  <si>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</si>
  <si>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</si>
  <si>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</si>
  <si>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</si>
  <si>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</si>
  <si>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</si>
  <si>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 xml:space="preserve">School Year </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</si>
  <si>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</si>
  <si>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</si>
  <si>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</si>
  <si>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</si>
  <si>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</si>
  <si>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</si>
  <si>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</si>
  <si>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2019 and prior years.</t>
  </si>
  <si>
    <t xml:space="preserve"> For 2020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</si>
  <si>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</si>
  <si>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</si>
  <si>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</si>
  <si>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r>
      <t>Ver. 773-4D-</t>
    </r>
    <r>
      <rPr>
        <sz val="11"/>
        <rFont val="Calibri"/>
        <family val="2"/>
        <scheme val="minor"/>
      </rPr>
      <t>2020.V1</t>
    </r>
  </si>
  <si>
    <t>Mainstream ADA</t>
  </si>
  <si>
    <t>District Name:</t>
  </si>
  <si>
    <t xml:space="preserve"> &lt; Will load after Co-Dist # is entered below</t>
  </si>
  <si>
    <t>Release 16</t>
  </si>
  <si>
    <t>County-District No.:</t>
  </si>
  <si>
    <r>
      <t xml:space="preserve"> </t>
    </r>
    <r>
      <rPr>
        <b/>
        <sz val="12"/>
        <color indexed="10"/>
        <rFont val="Arial MT"/>
      </rPr>
      <t>&lt; ENTER # WITH DASH (</t>
    </r>
    <r>
      <rPr>
        <b/>
        <i/>
        <sz val="12"/>
        <color indexed="10"/>
        <rFont val="Arial MT"/>
      </rPr>
      <t>i.e.</t>
    </r>
    <r>
      <rPr>
        <b/>
        <sz val="12"/>
        <color indexed="10"/>
        <rFont val="Arial MT"/>
      </rPr>
      <t>, 001-902)</t>
    </r>
  </si>
  <si>
    <t>Run Date:</t>
  </si>
  <si>
    <t>Date Prepared:</t>
  </si>
  <si>
    <t>&lt; Optional</t>
  </si>
  <si>
    <t>Template for Estimating Total State Aid - Property of BOK Financial Securities, Inc.</t>
  </si>
  <si>
    <t xml:space="preserve">     by Omar Garcia, BOK Financial Securities, Inc.</t>
  </si>
  <si>
    <t>This template is designed to calculate revenue based on the school finance provisions enacted by the 86th Session of the Texas Legislature</t>
  </si>
  <si>
    <t>and is based on my current understanding of those provisions and of previous laws.  TEA is the official source for determining state aid.</t>
  </si>
  <si>
    <t>MY UNDERSTANDING IS ABSOLUTELY SUBJECT TO CHANGE AT ANY TIME.</t>
  </si>
  <si>
    <t>THE WHITE-SHADED DATA ENTRY CELLS CAN BE LEFT ALONE, BUT CAN BE CHANGED IF SO DESIRED</t>
  </si>
  <si>
    <t>Cells shaded in light yellow require data entry, if applicable</t>
  </si>
  <si>
    <t>Current</t>
  </si>
  <si>
    <t>Law</t>
  </si>
  <si>
    <t>Funding Elements</t>
  </si>
  <si>
    <t>2016-17</t>
  </si>
  <si>
    <t>2018-19</t>
  </si>
  <si>
    <t>2019-20</t>
  </si>
  <si>
    <t>2020-21</t>
  </si>
  <si>
    <t>2021-22</t>
  </si>
  <si>
    <t>2022-23</t>
  </si>
  <si>
    <t>2023-24</t>
  </si>
  <si>
    <t>Students</t>
  </si>
  <si>
    <t>Data Entry</t>
  </si>
  <si>
    <t>Refined ADA (PreK - 12)</t>
  </si>
  <si>
    <r>
      <t>&lt;=</t>
    </r>
    <r>
      <rPr>
        <b/>
        <sz val="10"/>
        <rFont val="Arial MT"/>
      </rPr>
      <t xml:space="preserve"> </t>
    </r>
    <r>
      <rPr>
        <sz val="11"/>
        <color theme="1"/>
        <rFont val="Calibri"/>
        <family val="2"/>
        <scheme val="minor"/>
      </rPr>
      <t xml:space="preserve">Enter estimated total refined ADA.  </t>
    </r>
    <r>
      <rPr>
        <b/>
        <sz val="10"/>
        <rFont val="Arial MT"/>
      </rPr>
      <t/>
    </r>
  </si>
  <si>
    <t>Is district the only district in the county?</t>
  </si>
  <si>
    <t>N</t>
  </si>
  <si>
    <t xml:space="preserve">&lt;= change to Y if district is the only district in the county.  </t>
  </si>
  <si>
    <t>High School Refined ADA (Grades 9 thru 12 only)</t>
  </si>
  <si>
    <r>
      <t>&lt;=</t>
    </r>
    <r>
      <rPr>
        <b/>
        <sz val="10"/>
        <rFont val="Arial MT"/>
      </rPr>
      <t xml:space="preserve"> </t>
    </r>
    <r>
      <rPr>
        <sz val="11"/>
        <color theme="1"/>
        <rFont val="Calibri"/>
        <family val="2"/>
        <scheme val="minor"/>
      </rPr>
      <t xml:space="preserve">Enter estimated total refined ADA in grades 9 thru 12.  </t>
    </r>
    <r>
      <rPr>
        <b/>
        <sz val="10"/>
        <rFont val="Arial MT"/>
      </rPr>
      <t/>
    </r>
  </si>
  <si>
    <t>Special Education Instructional Arrangement FTEs:</t>
  </si>
  <si>
    <t xml:space="preserve">   Homebound (Code 01)</t>
  </si>
  <si>
    <r>
      <t xml:space="preserve">&lt;= Enter homebound FTEs.  </t>
    </r>
    <r>
      <rPr>
        <b/>
        <sz val="10"/>
        <rFont val="Arial MT"/>
      </rPr>
      <t/>
    </r>
  </si>
  <si>
    <t xml:space="preserve">   Hospital Class (Code 02)</t>
  </si>
  <si>
    <r>
      <t>&lt;=</t>
    </r>
    <r>
      <rPr>
        <b/>
        <sz val="10"/>
        <rFont val="Arial MT"/>
      </rPr>
      <t xml:space="preserve"> </t>
    </r>
    <r>
      <rPr>
        <sz val="11"/>
        <color theme="1"/>
        <rFont val="Calibri"/>
        <family val="2"/>
        <scheme val="minor"/>
      </rPr>
      <t xml:space="preserve">Enter hospital class FTEs. </t>
    </r>
    <r>
      <rPr>
        <b/>
        <sz val="10"/>
        <rFont val="Arial MT"/>
      </rPr>
      <t/>
    </r>
  </si>
  <si>
    <t xml:space="preserve">   Speech Therapy (Code 00)</t>
  </si>
  <si>
    <r>
      <t>&lt;=</t>
    </r>
    <r>
      <rPr>
        <b/>
        <sz val="10"/>
        <rFont val="Arial MT"/>
      </rPr>
      <t xml:space="preserve"> </t>
    </r>
    <r>
      <rPr>
        <sz val="11"/>
        <color theme="1"/>
        <rFont val="Calibri"/>
        <family val="2"/>
        <scheme val="minor"/>
      </rPr>
      <t xml:space="preserve">Enter speech therapy FTEs.  </t>
    </r>
    <r>
      <rPr>
        <b/>
        <sz val="10"/>
        <rFont val="Arial MT"/>
      </rPr>
      <t/>
    </r>
  </si>
  <si>
    <t xml:space="preserve">   Resource Room (Code 41,42)</t>
  </si>
  <si>
    <r>
      <t>&lt;=</t>
    </r>
    <r>
      <rPr>
        <b/>
        <sz val="10"/>
        <rFont val="Arial MT"/>
      </rPr>
      <t xml:space="preserve"> </t>
    </r>
    <r>
      <rPr>
        <sz val="11"/>
        <color theme="1"/>
        <rFont val="Calibri"/>
        <family val="2"/>
        <scheme val="minor"/>
      </rPr>
      <t xml:space="preserve">Enter resource room FTEs.  </t>
    </r>
    <r>
      <rPr>
        <b/>
        <sz val="10"/>
        <rFont val="Arial MT"/>
      </rPr>
      <t/>
    </r>
  </si>
  <si>
    <t xml:space="preserve">   S/C Mild/Mod/Severe (Code 43, 44, &amp; 45)</t>
  </si>
  <si>
    <r>
      <t>&lt;=</t>
    </r>
    <r>
      <rPr>
        <b/>
        <sz val="10"/>
        <rFont val="Arial MT"/>
      </rPr>
      <t xml:space="preserve"> </t>
    </r>
    <r>
      <rPr>
        <sz val="11"/>
        <color theme="1"/>
        <rFont val="Calibri"/>
        <family val="2"/>
        <scheme val="minor"/>
      </rPr>
      <t>Enter self-contained mild, moderate, and severe FTEs.  S/C severe has now been lumped into this category.</t>
    </r>
    <r>
      <rPr>
        <b/>
        <sz val="10"/>
        <rFont val="Arial MT"/>
      </rPr>
      <t xml:space="preserve">  </t>
    </r>
  </si>
  <si>
    <t xml:space="preserve">   Off Home Campus (Codes 91-98)</t>
  </si>
  <si>
    <r>
      <t xml:space="preserve">&lt;= Enter off home campus FTEs. </t>
    </r>
    <r>
      <rPr>
        <b/>
        <sz val="10"/>
        <rFont val="Arial MT"/>
      </rPr>
      <t xml:space="preserve"> </t>
    </r>
  </si>
  <si>
    <t xml:space="preserve">   VAC (Code 08)</t>
  </si>
  <si>
    <r>
      <t>&lt;=</t>
    </r>
    <r>
      <rPr>
        <b/>
        <sz val="10"/>
        <rFont val="Arial MT"/>
      </rPr>
      <t xml:space="preserve"> </t>
    </r>
    <r>
      <rPr>
        <sz val="11"/>
        <color theme="1"/>
        <rFont val="Calibri"/>
        <family val="2"/>
        <scheme val="minor"/>
      </rPr>
      <t xml:space="preserve">Enter VAC FTEs. </t>
    </r>
    <r>
      <rPr>
        <b/>
        <sz val="10"/>
        <rFont val="Arial MT"/>
      </rPr>
      <t xml:space="preserve"> </t>
    </r>
  </si>
  <si>
    <t xml:space="preserve">   State Schools (Code 30)</t>
  </si>
  <si>
    <r>
      <t xml:space="preserve">&lt;= Enter state school students ADA. </t>
    </r>
    <r>
      <rPr>
        <b/>
        <sz val="10"/>
        <rFont val="Arial MT"/>
      </rPr>
      <t xml:space="preserve"> </t>
    </r>
  </si>
  <si>
    <t xml:space="preserve">   Nonpublic Contracts</t>
  </si>
  <si>
    <r>
      <t>&lt;=</t>
    </r>
    <r>
      <rPr>
        <b/>
        <sz val="10"/>
        <rFont val="Arial MT"/>
      </rPr>
      <t xml:space="preserve"> </t>
    </r>
    <r>
      <rPr>
        <sz val="11"/>
        <color theme="1"/>
        <rFont val="Calibri"/>
        <family val="2"/>
        <scheme val="minor"/>
      </rPr>
      <t xml:space="preserve">Enter non-public residential placement contract FTEs. </t>
    </r>
    <r>
      <rPr>
        <b/>
        <sz val="10"/>
        <rFont val="Arial MT"/>
      </rPr>
      <t xml:space="preserve"> </t>
    </r>
  </si>
  <si>
    <t xml:space="preserve">   Res Care &amp; Treatment (Code 81-89)</t>
  </si>
  <si>
    <r>
      <t>&lt;=</t>
    </r>
    <r>
      <rPr>
        <b/>
        <sz val="10"/>
        <rFont val="Arial MT"/>
      </rPr>
      <t xml:space="preserve"> </t>
    </r>
    <r>
      <rPr>
        <sz val="11"/>
        <color theme="1"/>
        <rFont val="Calibri"/>
        <family val="2"/>
        <scheme val="minor"/>
      </rPr>
      <t xml:space="preserve">Enter residential care and treatment FTEs. </t>
    </r>
  </si>
  <si>
    <t xml:space="preserve">   Full-time Early Childhood (Code 45)</t>
  </si>
  <si>
    <r>
      <t xml:space="preserve">&lt;= Enter the number of FTEs in this new arrangement. </t>
    </r>
    <r>
      <rPr>
        <b/>
        <sz val="10"/>
        <rFont val="Arial MT"/>
      </rPr>
      <t xml:space="preserve"> </t>
    </r>
  </si>
  <si>
    <r>
      <t>&lt;=</t>
    </r>
    <r>
      <rPr>
        <b/>
        <sz val="10"/>
        <rFont val="Arial MT"/>
      </rPr>
      <t xml:space="preserve"> </t>
    </r>
    <r>
      <rPr>
        <sz val="11"/>
        <color theme="1"/>
        <rFont val="Calibri"/>
        <family val="2"/>
        <scheme val="minor"/>
      </rPr>
      <t>Enter mainstream ADA.</t>
    </r>
    <r>
      <rPr>
        <b/>
        <sz val="10"/>
        <rFont val="Arial MT"/>
      </rPr>
      <t xml:space="preserve"> </t>
    </r>
  </si>
  <si>
    <t>Career &amp; Technology FTEs - Old Law</t>
  </si>
  <si>
    <t xml:space="preserve">&lt;= Enter C&amp;T FTEs under old law - Grades 9-12 + Grades 7-12 for students with disabilities. </t>
  </si>
  <si>
    <t>Career &amp; Technology FTEs - New Law</t>
  </si>
  <si>
    <t xml:space="preserve">&lt;= Enter C&amp;T FTEs under new law - Grades 7-12 of all C&amp;T students regardless of any disabilities. </t>
  </si>
  <si>
    <t>Advanced Career &amp; Technology FTEs - Old Law</t>
  </si>
  <si>
    <t>&lt;= Enter the FTEs of students enrolled in 2 or more advanced C&amp;T classes for 3 or more credits.</t>
  </si>
  <si>
    <t>Advanced Career &amp; Technology FTEs - New Law</t>
  </si>
  <si>
    <t>&lt;= Enter the FTEs of students enrolled in 2 or more advanced C&amp;T classes for 3 or more credits + FTEs of C&amp;T students on a P-TECH campus + FTEs of C&amp;T students on a campus that is a member of the New Tech Network.</t>
  </si>
  <si>
    <t># of Students Completing an Electronic Course Provided by the District</t>
  </si>
  <si>
    <t>&lt;= Enter the number of students (not including the district's own students) that successfully completed an electronic course that the district provided thru the state virtual school network.</t>
  </si>
  <si>
    <t># of Students Completing an Electronic Course Provided by Another District</t>
  </si>
  <si>
    <t>&lt;= Enter the number of students that successfully completed an electronic course that was provided by another entity thru the state virtual school network.</t>
  </si>
  <si>
    <t>Compensatory Ed Enrollment - Old Law</t>
  </si>
  <si>
    <t xml:space="preserve">&lt;= Enter comp ed enrollment (best 6 mo avg of free and reduced price eligible students for the prior federal fiscal year 10/1 thru 9/30).   </t>
  </si>
  <si>
    <t>Residential Placement Facility - Not Ed Disadvantaged Students</t>
  </si>
  <si>
    <t xml:space="preserve">&lt;= Enter the # of students that do not have a disability and are living in a residential placement facility whose parents do not reside in the district.   </t>
  </si>
  <si>
    <t>Residential Placement Facility - Ed Disadvantaged Students</t>
  </si>
  <si>
    <t xml:space="preserve">&lt;= Enter the # of students that are educationally disadvantaged and are living in a residential placement facility whose parents do not reside in the district.   </t>
  </si>
  <si>
    <r>
      <t xml:space="preserve">Ed Disadvantaged Students Living in Eco Disadvantaged Census Block 1 </t>
    </r>
    <r>
      <rPr>
        <b/>
        <sz val="12"/>
        <rFont val="Arial MT"/>
      </rPr>
      <t>(use this if no block data)</t>
    </r>
  </si>
  <si>
    <t xml:space="preserve">&lt;= # of students in this block to be determined by TEA.   </t>
  </si>
  <si>
    <t>Ed Disadvantaged Students Living in Eco Disadvantaged Census Block 2</t>
  </si>
  <si>
    <t>Ed Disadvantaged Students Living in Eco Disadvantaged Census Block 3</t>
  </si>
  <si>
    <t>Ed Disadvantaged Students Living in Eco Disadvantaged Census Block 4</t>
  </si>
  <si>
    <t>Ed Disadvantaged Students Living in Eco Disadvantaged Census Block 5</t>
  </si>
  <si>
    <t>FTEs of Pregnant Students</t>
  </si>
  <si>
    <r>
      <t xml:space="preserve">&lt;= Enter pregnant students FTEs (must be receiving related services).  </t>
    </r>
    <r>
      <rPr>
        <b/>
        <sz val="10"/>
        <rFont val="Arial MT"/>
      </rPr>
      <t xml:space="preserve"> </t>
    </r>
  </si>
  <si>
    <t># of Students Whose Parent Is on Combat Duty (see Column V)</t>
  </si>
  <si>
    <t>&lt;= Enter the number of students whose parent or guardian is serving on active duty in a combat zone or who has transferred into the district as a result of action taken under the Defense Base Closure and Realignment Act of 1990</t>
  </si>
  <si>
    <t>Bilingual ADA - Old Law</t>
  </si>
  <si>
    <t>&lt;= Enter bilingual ADA of all LEP students as defined in TEC 29.052.</t>
  </si>
  <si>
    <t>Bilingual ADA - New Law</t>
  </si>
  <si>
    <t>&lt;= Enter bilingual ADA of all LEP students as defined in TEC 29.052, not in a dual language program.</t>
  </si>
  <si>
    <t>Bilingual ADA - Dual Language Immersion Students (1-way or 2-way)</t>
  </si>
  <si>
    <t>&lt;= Enter bilingual ADA of LEP students in a bilingual ed program using a dual language immersion/one-way or two-way program model.</t>
  </si>
  <si>
    <t>Bilingual ADA - Non-LEP Dual Language Students (2-way)</t>
  </si>
  <si>
    <t>&lt;= Enter the ADA of non-LEP students in a bilingual ed program using a dual language immersion/two-way program model.</t>
  </si>
  <si>
    <t>Dyslexia Enrollment</t>
  </si>
  <si>
    <t>&lt;= enter the # of students being served who have been identified as having dyslexia or a related disorder.</t>
  </si>
  <si>
    <t>Early Education ADA</t>
  </si>
  <si>
    <r>
      <t xml:space="preserve">&lt;= Enter the combined ADA of students in Grades K-3 that are </t>
    </r>
    <r>
      <rPr>
        <b/>
        <sz val="10"/>
        <color rgb="FFFF0000"/>
        <rFont val="Arial MT"/>
      </rPr>
      <t>either</t>
    </r>
    <r>
      <rPr>
        <b/>
        <sz val="10"/>
        <rFont val="Arial MT"/>
      </rPr>
      <t xml:space="preserve"> educationally disadvantaged </t>
    </r>
    <r>
      <rPr>
        <b/>
        <sz val="10"/>
        <color rgb="FFFF0000"/>
        <rFont val="Arial MT"/>
      </rPr>
      <t>or</t>
    </r>
    <r>
      <rPr>
        <b/>
        <sz val="10"/>
        <rFont val="Arial MT"/>
      </rPr>
      <t xml:space="preserve"> are LEP students being served in a bilingual ed or special language program under TEC Chapter 29, Subchapter B.</t>
    </r>
  </si>
  <si>
    <t>Career, College, or Military Readiness - Educationally Disadvantaged Graduates</t>
  </si>
  <si>
    <t>&lt;= Enter the # of educationally disadvantaged graduates that will meet the College, Career or Military Readiness Bonus criteria based on the methodology that TEA laid out in their 8/9/19 presentation…..or use TEA's estimates found on their template, unless you can figure out this count on your own (good luck with that).</t>
  </si>
  <si>
    <t>Career, College, or Military Readiness - Non-Educationally Disadvantaged Graduates</t>
  </si>
  <si>
    <t>&lt;= Enter the # of non-educationally disadvantaged graduates that will meet the College, Career or Military Readiness Bonus criteria based on the methodology that TEA laid out in their 8/9/19 presentation…..or use TEA's estimates found on their template, unless you can figure out this count on your own (good luck with that).</t>
  </si>
  <si>
    <t>Career, College, or Military Readiness - Special Ed. Graduates</t>
  </si>
  <si>
    <t>&lt;= Enter the # of graduates that received Sp Ed services that will meet the College, Career or Military Readiness Bonus criteria based on the methodology that TEA laid out in their 8/9/19 presentation…..or use TEA's estimates found on their template, unless you can figure out this count on your own (good luck with that).</t>
  </si>
  <si>
    <t>G &amp; T  Enrollment</t>
  </si>
  <si>
    <r>
      <t>&lt;= Enter gifted and talented enrollment (funding limited to 5 percent of refined ADA).</t>
    </r>
    <r>
      <rPr>
        <b/>
        <sz val="10"/>
        <rFont val="Arial MT"/>
      </rPr>
      <t xml:space="preserve">  </t>
    </r>
  </si>
  <si>
    <t>Public Ed Grant Student ADA</t>
  </si>
  <si>
    <r>
      <t>&lt;=</t>
    </r>
    <r>
      <rPr>
        <b/>
        <sz val="10"/>
        <rFont val="Arial MT"/>
      </rPr>
      <t xml:space="preserve"> </t>
    </r>
    <r>
      <rPr>
        <sz val="11"/>
        <color theme="1"/>
        <rFont val="Calibri"/>
        <family val="2"/>
        <scheme val="minor"/>
      </rPr>
      <t xml:space="preserve">Enter the ADA of students being served thru a Public Education Grant program.  </t>
    </r>
    <r>
      <rPr>
        <b/>
        <sz val="10"/>
        <rFont val="Arial MT"/>
      </rPr>
      <t/>
    </r>
  </si>
  <si>
    <t>New Instructional Facility Allotment (NIFA) ADA</t>
  </si>
  <si>
    <r>
      <t>&lt;=</t>
    </r>
    <r>
      <rPr>
        <b/>
        <sz val="10"/>
        <rFont val="Arial MT"/>
      </rPr>
      <t xml:space="preserve"> </t>
    </r>
    <r>
      <rPr>
        <sz val="11"/>
        <color theme="1"/>
        <rFont val="Calibri"/>
        <family val="2"/>
        <scheme val="minor"/>
      </rPr>
      <t xml:space="preserve">Enter the ADA of an eligible (for NIFA) new instructional facility.  If the applicable year is the second year of eligibility, enter the difference between the first and second year ADA.   </t>
    </r>
    <r>
      <rPr>
        <b/>
        <sz val="10"/>
        <rFont val="Arial MT"/>
      </rPr>
      <t/>
    </r>
  </si>
  <si>
    <t>Add'l Cost Required to Pay for 19-20 Min. Salary Schedule</t>
  </si>
  <si>
    <t>these calculations are not done yet</t>
  </si>
  <si>
    <t># of recognized teachers</t>
  </si>
  <si>
    <t># of exemplary teachers</t>
  </si>
  <si>
    <t># of master teachers</t>
  </si>
  <si>
    <t>ADA of Students in Dropout Recovery School and Res Placement Facility</t>
  </si>
  <si>
    <t>&lt;= Enter the ADA of students residing in a residential placement facility or are enrolled in a dropout recovery school under TEC 39.0548.</t>
  </si>
  <si>
    <t>Staff</t>
  </si>
  <si>
    <t># of Full-time Employees (excluding admin &amp; teachers, etc)</t>
  </si>
  <si>
    <r>
      <t xml:space="preserve">&lt;= Enter the number of full-time employees, excluding administrators, classroom teachers, and full-time librarians, counselors, and nurses.  </t>
    </r>
    <r>
      <rPr>
        <b/>
        <sz val="10"/>
        <rFont val="Arial MT"/>
      </rPr>
      <t/>
    </r>
  </si>
  <si>
    <t># of Part-time Employees (excluding administrators)</t>
  </si>
  <si>
    <r>
      <t xml:space="preserve">&lt;= Enter the number of part-time employees, excluding administrators, classroom teachers, and full-time librarians, counselors, and nurses.  </t>
    </r>
    <r>
      <rPr>
        <b/>
        <sz val="10"/>
        <rFont val="Arial MT"/>
      </rPr>
      <t/>
    </r>
  </si>
  <si>
    <t>2015 TAX</t>
  </si>
  <si>
    <t>2017 TAX</t>
  </si>
  <si>
    <t>PRELIM 2018</t>
  </si>
  <si>
    <t>PRELIM 2019</t>
  </si>
  <si>
    <t>2020 TAX</t>
  </si>
  <si>
    <t>2021 TAX</t>
  </si>
  <si>
    <t>2022 TAX</t>
  </si>
  <si>
    <t>2023 TAX</t>
  </si>
  <si>
    <t>Property Values</t>
  </si>
  <si>
    <t>YEAR</t>
  </si>
  <si>
    <t>TAX YEAR</t>
  </si>
  <si>
    <t>&lt;= For tax years 20187 and 2018 (2018 preliminary as of this date), the appropriate final "T" values as certified by the Comptroller have been loaded for you.  Starting with tax year 2019 (2019-20 school year, you should enter your own estimates of what those "T" values would be once certified by the Comptroller.</t>
  </si>
  <si>
    <t>State Certified Property Value ("T2" value) @ $25K Exemption</t>
  </si>
  <si>
    <t>&lt;= The "T2" value is used to computed the local shares in Tier I &amp; Tier II and is also used in the computation of the M&amp;O hold harmless amount.</t>
  </si>
  <si>
    <t>State Certified Property Value ("T1" value) @ $15K Exemption</t>
  </si>
  <si>
    <t>&lt;= The "T1" value is used in the computation of the M&amp;O hold harmless amount under old law.</t>
  </si>
  <si>
    <t>State Certified Property Value ("T4" value) @ $25K Exemption</t>
  </si>
  <si>
    <t>&lt;= The "T4" value applies only to Chapter 41 school districts and is used in the computation of recapture under old law.</t>
  </si>
  <si>
    <t>State Certified Property Value ("T10" value) @ $25K Exemption</t>
  </si>
  <si>
    <t>&lt;= The "T10" value is used to computed the local shares for EDA &amp; IFA under old law.</t>
  </si>
  <si>
    <t>State Certified Property Value ("T3" value) @ $15K Exemption</t>
  </si>
  <si>
    <t>&lt;= The "T3" value applies only to Chapter 41 school districts and is used in the computation of the M&amp;O hold harmless amount under old law.</t>
  </si>
  <si>
    <t>State Certified Property Value ("T9" value) @ $15K Exemption</t>
  </si>
  <si>
    <t>&lt;= The "T9" value is used in the computation of the I&amp;S hold harmless amount.</t>
  </si>
  <si>
    <t>State Certified Property Value ("T8" value) @ $25K Exemption</t>
  </si>
  <si>
    <t>&lt;= The "T8" value is used in the computation of EDA &amp; IFA  - this value will only be different from T2 if district has a Ch 313 agreement.</t>
  </si>
  <si>
    <t>State Certified Property Value ("T7" value) @ $15K Exemption</t>
  </si>
  <si>
    <t>&lt;= The "T7" value is used in the computation of ASAHE for Facilities.</t>
  </si>
  <si>
    <t>2018 TAX</t>
  </si>
  <si>
    <t>Expiration of Certain Excluded Property (see note in Cell K182 below)</t>
  </si>
  <si>
    <t>Tax Rates and Collections</t>
  </si>
  <si>
    <t>M&amp;O Adopted Tax Rate - Old Law</t>
  </si>
  <si>
    <t xml:space="preserve">&lt;= Enter the district's adopted M&amp;O tax rate for the 2018-19 school year - the other years will use that same rate to compute old law M&amp;O tax collections.  </t>
  </si>
  <si>
    <t xml:space="preserve">M&amp;O Tax Collections @ Old Law Adopted M&amp;O Rate </t>
  </si>
  <si>
    <t xml:space="preserve">&lt;= These cells are calculated for you - new law collections per penny are multiplied by old law rate to get what collections would have been under old law.  </t>
  </si>
  <si>
    <t>HB3 M&amp;O Rollback Rates (Max M&amp;O rates alllowed without a TRE)</t>
  </si>
  <si>
    <t xml:space="preserve">&lt;= This cell is calculated for you - it is the district's M&amp;O rollback rate under HB 3 (max rate withoutTRE). </t>
  </si>
  <si>
    <t>M&amp;O Adopted Tax Rate - HB 3 (see HB3-RollbackRates tab for Max M&amp;O rates with a TRE)</t>
  </si>
  <si>
    <t xml:space="preserve">&lt;= Enter the district's adopted M&amp;O tax rate for the applicable school year.  </t>
  </si>
  <si>
    <t xml:space="preserve">M&amp;O Tax Collections @ HB 3 Adopted M&amp;O Rate </t>
  </si>
  <si>
    <r>
      <t xml:space="preserve">&lt;= Enter the estimated M&amp;O taxes to be collected (including frozen levies) for the applicable year.  Include taxes resulting from a change in the district's optional homestead exemption, delinquent taxes (excluding P&amp;I), and any CED delinquent taxes (not including P&amp;I).  </t>
    </r>
    <r>
      <rPr>
        <b/>
        <sz val="10"/>
        <color rgb="FFFF0000"/>
        <rFont val="Arial MT"/>
      </rPr>
      <t>NOTE FOR TIF DISTRICTS - DO NOT INCLUDE</t>
    </r>
    <r>
      <rPr>
        <b/>
        <sz val="10"/>
        <rFont val="Arial MT"/>
      </rPr>
      <t xml:space="preserve"> any taxes collected and paid to a Tax Increment Financing arrangement.  If the district has received an IFA award for a lease-purchase, the IFA local share for that award will be subtracted from the amount of M&amp;O tax collections entered before Tier II state aid is calculated.</t>
    </r>
  </si>
  <si>
    <r>
      <t>"Harvey" Portion of 18-19 M&amp;O Tax Rate (</t>
    </r>
    <r>
      <rPr>
        <i/>
        <sz val="12"/>
        <rFont val="Arial MT"/>
      </rPr>
      <t>i.e.</t>
    </r>
    <r>
      <rPr>
        <sz val="12"/>
        <rFont val="Arial MT"/>
      </rPr>
      <t>, enter as .02, .04, etc.)</t>
    </r>
  </si>
  <si>
    <t>M&amp;O Taxes Distributed to TIF Arrangement</t>
  </si>
  <si>
    <t xml:space="preserve">&lt;= If the district has entered into a Tax Increment Financing (TIF) agreement, enter the amount of M&amp;O taxes being sent over to the TIF - this is the amount excluded from the total M&amp;O collection in the cell above.   </t>
  </si>
  <si>
    <t>M&amp;O Taxes Attributed to Change in Optional Homestead Exemption</t>
  </si>
  <si>
    <t xml:space="preserve">&lt;= Of the total M&amp;O tax collections entered in Row 59, enter the amount attributable to a change in the district's optional homestead exemption.    </t>
  </si>
  <si>
    <t>I&amp;S Adopted Tax Rate</t>
  </si>
  <si>
    <t xml:space="preserve">&lt;= Enter the district's adopted I&amp;S tax rate for the applicable year.   </t>
  </si>
  <si>
    <t xml:space="preserve">I&amp;S Tax Collections </t>
  </si>
  <si>
    <r>
      <t xml:space="preserve">&lt;= Enter the amount of I&amp;S taxes collected, including delinquent taxes -  </t>
    </r>
    <r>
      <rPr>
        <b/>
        <sz val="10"/>
        <color rgb="FFFF0000"/>
        <rFont val="Arial MT"/>
      </rPr>
      <t xml:space="preserve">do not include Penalties &amp; Interest.  </t>
    </r>
  </si>
  <si>
    <t>Unequalized Taxes Used for EDA/IFA Local Share (see Column Q)</t>
  </si>
  <si>
    <t xml:space="preserve">&lt;= If the district will not collect enough I&amp;S taxes to meet its local share requirements for EDA and/or IFA and has enough unequalized taxes to make up the difference (TEA maintains a file that shows each district's balance), enter the amount of unequalized taxes to be used.  TEA maintains the balance of unequalized taxes available to be used for this purpose.  You can also check your balance going into a particular year (beginning with 15-16) using this template by going to the EDA &amp; IFA Detail Reports. </t>
  </si>
  <si>
    <t>Other Data</t>
  </si>
  <si>
    <t>Regular Transportation Allocation - Old Law</t>
  </si>
  <si>
    <t>&lt;= Enter the estimated total (regular + sp ed + C&amp;T+ private) transportation allotment (you can use the prior year allocation if the current year's allotment is not known at this time).</t>
  </si>
  <si>
    <t># Miles Buses Traveled Transporting Regular Eligible Students &amp; Homeless Students</t>
  </si>
  <si>
    <t>&lt;= Enter the estimated # of miles buses will travel transporting regular eligible students + homeless students.</t>
  </si>
  <si>
    <t>Special Education Transportation Allotment</t>
  </si>
  <si>
    <t>&lt;= Enter the latest allocation (you can use the prior year allocation if the current year's allotment is not known at this time).</t>
  </si>
  <si>
    <t>Career &amp; Tech Transportation Allotment</t>
  </si>
  <si>
    <t>Private Transportation Allotment</t>
  </si>
  <si>
    <t>Is the district classified as a "rural" school district? (Y or N)</t>
  </si>
  <si>
    <t xml:space="preserve">&lt;= change to Y only if district is classified as rural by TEA.  </t>
  </si>
  <si>
    <t>College Preparation Assessment Reimbursement</t>
  </si>
  <si>
    <t xml:space="preserve">&lt;= Enter the amount, if any, determined by TEA - the amount will appear on the Summary of Finances. </t>
  </si>
  <si>
    <t>Certification Examination Reimbursement</t>
  </si>
  <si>
    <t>Texas School for the Deaf Students</t>
  </si>
  <si>
    <t>&lt;= Enter the number of students enrolled in the TX School for the Deaf, if any.</t>
  </si>
  <si>
    <t>Texas School for the Blind Students</t>
  </si>
  <si>
    <t>&lt;= Enter the number of students enrolled in the TX School for the Blind, if any.</t>
  </si>
  <si>
    <t>Total Tax Levy</t>
  </si>
  <si>
    <r>
      <t>&lt;= Enter the total amount of taxes levied for the applicable school year</t>
    </r>
    <r>
      <rPr>
        <b/>
        <sz val="10"/>
        <color rgb="FFFF0000"/>
        <rFont val="Arial MT"/>
      </rPr>
      <t xml:space="preserve"> (only necessary if a number is entered above as TSD or TSB students)</t>
    </r>
    <r>
      <rPr>
        <sz val="11"/>
        <color theme="1"/>
        <rFont val="Calibri"/>
        <family val="2"/>
        <scheme val="minor"/>
      </rPr>
      <t>.</t>
    </r>
  </si>
  <si>
    <r>
      <t xml:space="preserve">Charge for Adv Placement Tests </t>
    </r>
    <r>
      <rPr>
        <b/>
        <sz val="12"/>
        <rFont val="Arial MT"/>
      </rPr>
      <t>(enter as positive or negative #) - Old Law</t>
    </r>
  </si>
  <si>
    <t>&lt;= Enter the district's share of the statewide cost of the Advanced Placement testing (can be entered as positive or negative amount) - for 18-19, use the same charge that appears on TEA's Tier I Detail Report that is linked to the latest 18-19 Summary of Finances....for 19-20, use the same charge that appears on TEA's template (tab labeled 'State Aid OL).</t>
  </si>
  <si>
    <r>
      <t xml:space="preserve">Charge for Early Child Intervention </t>
    </r>
    <r>
      <rPr>
        <b/>
        <sz val="12"/>
        <rFont val="Arial MT"/>
      </rPr>
      <t>(enter as positive or negative #) - Old Law</t>
    </r>
  </si>
  <si>
    <t>&lt;= Enter the district's share of the statewide cost of the Early Childhood Intervention Program (can be entered as positive or negative amount) - for 18-19, use the same charge that appears on TEA's Tier I Detail Report that is linked to the latest 18-19 Summary of Finances....for 19-20, use same charge that appears on TEA's template (tab labeled 'State Aid OL) .</t>
  </si>
  <si>
    <r>
      <t xml:space="preserve">Charge for Adv Placement Tests </t>
    </r>
    <r>
      <rPr>
        <b/>
        <sz val="12"/>
        <rFont val="Arial MT"/>
      </rPr>
      <t>(enter as positive or negative #) - HB 3</t>
    </r>
  </si>
  <si>
    <t xml:space="preserve">&lt;= Enter the district's share of the statewide cost of the Advanced Placement testing under HB 3 (can be entered as positive or negative amount) - use same charge that appears on the district's latest Tier I Detail Report that is linked on TEA's HB 3 Summary of Finances.  If an HB 3  Summary of Finance is not available, use the charge that appears on TEA's template (tab labeled 'State Aid'). </t>
  </si>
  <si>
    <r>
      <t xml:space="preserve">Charge for Early Child Intervention </t>
    </r>
    <r>
      <rPr>
        <b/>
        <sz val="12"/>
        <rFont val="Arial MT"/>
      </rPr>
      <t>(enter as positive or negative #) - HB3</t>
    </r>
  </si>
  <si>
    <t xml:space="preserve">&lt;= Enter the district's share of the statewide cost of the Early Childhood Intervention Program under HB 3 (can be entered as positive or negative amount) - use same charge that appears on the district's latest Tier I Detail Report that is linked on TEA's HB 3 Summary of Finances.  If an HB 3  Summary of Finance is not available, use the charge that appears on TEA's template (tab labeled 'State Aid'). </t>
  </si>
  <si>
    <t>Tuition Paid If Less Than 12 Grades</t>
  </si>
  <si>
    <t xml:space="preserve">&lt;= If the highest grade taught is less than 12, enter the tuition amount, if any,  the district pays other districts to educate students whose grades are not taught by the home district. </t>
  </si>
  <si>
    <r>
      <t xml:space="preserve">Bond Payment </t>
    </r>
    <r>
      <rPr>
        <b/>
        <sz val="12"/>
        <rFont val="Arial MT"/>
      </rPr>
      <t>(see Column Q re: QSCB and other Fed. programs)</t>
    </r>
  </si>
  <si>
    <r>
      <t xml:space="preserve">&lt;= The 19-20 amount has been has been auto-loaded from a TEA file - if it does not match the amount on your latest SOF, enter the amount found on Line 5 of the EDA Detail Report.  For all other years, enter the district's eligible debt service payment for bonded debt (does not include lease-purchase payments) for the applicable school year, including bonded debt covered by the IFA program and Qualified School Construction Bonds, Build America Bonds, and Qualified Zone Academy Bonds debt net of the federal subsidies.  </t>
    </r>
    <r>
      <rPr>
        <b/>
        <sz val="10"/>
        <color rgb="FFFF0000"/>
        <rFont val="Arial MT"/>
      </rPr>
      <t>Do not include IFA awarded for a lease-purchase</t>
    </r>
    <r>
      <rPr>
        <sz val="11"/>
        <color theme="1"/>
        <rFont val="Calibri"/>
        <family val="2"/>
        <scheme val="minor"/>
      </rPr>
      <t xml:space="preserve">.  Eligible debt is debt for which a payment was made as of 9/1 in the 2nd year of each biennium (example - payment made by 9/1/19 makes the debt eligible in 2019-20 &amp; 2020-21.  </t>
    </r>
  </si>
  <si>
    <t>Eligible Debt (as of 9/1/15) for I&amp;S Hold Harmless Purposes</t>
  </si>
  <si>
    <t xml:space="preserve">&lt;= The 19-20 amount has been loaded for you but you should check to make sure it matches what TEA is using on your latest SOF (see the ASAHE for Facilities Detail Report) - if not, change the amount loaded to what TEA has.  It represents the amount of eligible debt the district had as of 9/1/15 and is used in the calculation of I&amp;S hold harmless (TEA calls it Additional State Aid for Homestead Exemption (ASAHE) for Facilities).    </t>
  </si>
  <si>
    <r>
      <t>Attendance Credits Sold State Aid (Reduction for WADA Sold) - E</t>
    </r>
    <r>
      <rPr>
        <b/>
        <sz val="12"/>
        <rFont val="Arial MT"/>
      </rPr>
      <t>nter as negative #</t>
    </r>
  </si>
  <si>
    <t xml:space="preserve">&lt;= Enter the negative amount, if any, determined by TEA - the amount will appear on the Summary of Finances under "Other Programs Detail Report" link. </t>
  </si>
  <si>
    <t>Supplemental TIF Payment From TEA</t>
  </si>
  <si>
    <t xml:space="preserve">&lt;= Enter the amount, if any, determined by TEA - the amount will appear on the Summary of Finances under "Other Programs Detail Report" link. </t>
  </si>
  <si>
    <t>Additional Aid for Frozen Levy Lost</t>
  </si>
  <si>
    <t>Tax Credit for Tax Code, Chapter 313 Value Limitations</t>
  </si>
  <si>
    <t>Other Adjustments for M&amp;O Tax Collections</t>
  </si>
  <si>
    <t>Tuition Allotment for Districts Not Offering All Grades</t>
  </si>
  <si>
    <t xml:space="preserve">&lt;= Enter the amount, if any, determined by TEA - the amount will appear on the 18-19 Summary of Finances under "Other Programs Detail Report" link and will be part of the Tier I allotments beginning in 19-20 under new law. </t>
  </si>
  <si>
    <t>Interest Refunds Under TEC 28.271(c)</t>
  </si>
  <si>
    <t>&lt;= Enter the amount of interest expense the district had to refund resulting from litigation (i.e., the compressor law suit ruled in favor of the company suing).</t>
  </si>
  <si>
    <r>
      <t xml:space="preserve">2012-13 RPAF Adjustment </t>
    </r>
    <r>
      <rPr>
        <b/>
        <sz val="12"/>
        <color indexed="8"/>
        <rFont val="Arial MT"/>
      </rPr>
      <t>(if negative, enter as negative #)</t>
    </r>
  </si>
  <si>
    <t>&lt;= Enter the amount (as positive or negative #, whichever is applicable), if any, determined by TEA - the amount will appear on the Summary of Finances under "Other Programs Detail Report" link (will only apply to districts that were approved to use the .95195 adjustment factor instead of the .9239)</t>
  </si>
  <si>
    <t>Additional State Aid for Property Value Decline</t>
  </si>
  <si>
    <t xml:space="preserve">&lt;= The 16-17 amount has been loaded for you but you should check to make sure it matches what TEA is using on your latest 2016-17 Summary of Finances - if it doesn't, change the amount loaded to what TEA has (you can find TEA's amount on the 16-17 Other Programs Detail Report).  The 17-18 amount is yet to be determined but it will not be as much as the 16-17 amount ($50M appropriated for 2017 and only $25M for 2018).     </t>
  </si>
  <si>
    <t>LPE Current Foundation School Fund Allocation (see Column Q)</t>
  </si>
  <si>
    <t>&lt;= This amount will appear at the bottom of the latest Summary of Finances under the "FSP Allocations and Adjustments Report" link.  If you do not want to see the projected under(over) payment, you do not have to enter anything. If the amount is not known at the time of data entry, leave as zero, and no projection of under(over) payment will be calculated.</t>
  </si>
  <si>
    <t>Foundation School Fund Adjustments to Date (see Column Q)</t>
  </si>
  <si>
    <t>Chapter 41/49 Data</t>
  </si>
  <si>
    <t>&lt;= If the district is not Chapter 41, no data entry is required for this section.</t>
  </si>
  <si>
    <r>
      <rPr>
        <b/>
        <sz val="12"/>
        <rFont val="Arial MT"/>
      </rPr>
      <t>Q</t>
    </r>
    <r>
      <rPr>
        <sz val="12"/>
        <rFont val="Arial MT"/>
      </rPr>
      <t xml:space="preserve">. Chapter 41 District? - if yes, change to Y  </t>
    </r>
  </si>
  <si>
    <t xml:space="preserve">&lt;= If district is a Chapter 41 district, change to Y. </t>
  </si>
  <si>
    <r>
      <rPr>
        <b/>
        <sz val="12"/>
        <rFont val="Arial MT"/>
      </rPr>
      <t>Q</t>
    </r>
    <r>
      <rPr>
        <sz val="12"/>
        <rFont val="Arial MT"/>
      </rPr>
      <t xml:space="preserve">. First-Time Chapter 41 district? (beginning with 2006-07 or later)  </t>
    </r>
  </si>
  <si>
    <t xml:space="preserve">&lt;= If the district was Chapter 41 for the first time in 2006-07 or thereafter, change to Y. </t>
  </si>
  <si>
    <t>Enrollment</t>
  </si>
  <si>
    <r>
      <t>&lt;=</t>
    </r>
    <r>
      <rPr>
        <b/>
        <sz val="10"/>
        <rFont val="Arial MT"/>
      </rPr>
      <t xml:space="preserve"> </t>
    </r>
    <r>
      <rPr>
        <sz val="11"/>
        <color theme="1"/>
        <rFont val="Calibri"/>
        <family val="2"/>
        <scheme val="minor"/>
      </rPr>
      <t>Enter the district's estimated total enrollment that will be reported thru PEIMS in the Fall submission for the applicable year (not needed if the district does not charge tuition to educate non-resident students).</t>
    </r>
  </si>
  <si>
    <t># of Non-Resident Students Who Are Charged Tuition</t>
  </si>
  <si>
    <t>&lt;= Enter the number of non-resident students who will be charged tuition for being educated by the district, if applicable.</t>
  </si>
  <si>
    <t>County Appraisal District (CAD) Cost</t>
  </si>
  <si>
    <t>&lt;= Enter the district's share of the CAD budget.</t>
  </si>
  <si>
    <t>CAD Cost Paid by Partner's, if applicable</t>
  </si>
  <si>
    <t>&lt;= Enter the district's share of the CAD budget being paid for by the district's Option 4 partners.</t>
  </si>
  <si>
    <t># of Resident Students Being Educated by Another District</t>
  </si>
  <si>
    <t xml:space="preserve">   for which the District is Paying Tuition </t>
  </si>
  <si>
    <t>&lt;= If the district is less than K-12 and will be paying tuition to the educating district for those students whose grades are not taught, enter the number of students being educated by the other district.</t>
  </si>
  <si>
    <t>Amount of Tuition Paid per Student</t>
  </si>
  <si>
    <t>&lt;= If the district is less than K-12 and will be paying tuition to the educating district for those students whose grades are not taught, enter the amount of tuition per student being paid.</t>
  </si>
  <si>
    <r>
      <t xml:space="preserve">Chapter 42/48 Funding Credit Against Recapture </t>
    </r>
    <r>
      <rPr>
        <b/>
        <sz val="12"/>
        <rFont val="Arial MT"/>
      </rPr>
      <t xml:space="preserve">(enter as negative #, if applicable) - See Column </t>
    </r>
  </si>
  <si>
    <t>&lt;= A district subject to recapture may elect to offset some or all of their recapture payment by having TEA reduce its Other Program state aid - please check to see how much Other Program state aid is available for the offset.</t>
  </si>
  <si>
    <r>
      <t xml:space="preserve">Formula Transition Grant Credited Against Recapture </t>
    </r>
    <r>
      <rPr>
        <b/>
        <sz val="12"/>
        <rFont val="Arial MT"/>
      </rPr>
      <t>(enter as negative #, if applicable)</t>
    </r>
  </si>
  <si>
    <t xml:space="preserve">&lt;= HB 3 repealed the former Chapter 42 Credit Against Recapture  - the only Chapter 48 funding being allowed to be credited against recapture is the amount of the Formula Transition Grant, so if your Grant exceeds your amount of recapture, enter (as a negative amount) the amount of that Grant you want to be applied towards your recapture cost. </t>
  </si>
  <si>
    <r>
      <rPr>
        <b/>
        <sz val="12"/>
        <rFont val="Arial MT"/>
      </rPr>
      <t>Q.</t>
    </r>
    <r>
      <rPr>
        <sz val="12"/>
        <rFont val="Arial MT"/>
      </rPr>
      <t xml:space="preserve"> Was the least expensive Option chosen? (Level 1)</t>
    </r>
  </si>
  <si>
    <t>Y</t>
  </si>
  <si>
    <t>&lt;= If the district did not choose to exercise the least expensive option to reduce its wealth per WADA, change the 'Y' to 'N'.</t>
  </si>
  <si>
    <r>
      <rPr>
        <b/>
        <sz val="12"/>
        <rFont val="Arial MT"/>
      </rPr>
      <t>Q.</t>
    </r>
    <r>
      <rPr>
        <sz val="12"/>
        <rFont val="Arial MT"/>
      </rPr>
      <t xml:space="preserve"> Was the least expensive Option chosen? ($319,500 level)</t>
    </r>
  </si>
  <si>
    <t>&lt;= If the district did not choose to exercise the least expensive option to reduce its wealth per WADA to the $319,500 level, change the 'Y' to 'N'.</t>
  </si>
  <si>
    <t xml:space="preserve">Rate to Maintain / Notice Data </t>
  </si>
  <si>
    <t># of TRS Members</t>
  </si>
  <si>
    <t>&lt;= Enter the number of all district personnel who are members of the Teacher Retirement System.</t>
  </si>
  <si>
    <t xml:space="preserve"># of Full-time Employees Participating in Health Insurance Program </t>
  </si>
  <si>
    <t>&lt;= Enter the number of full-time district personnel who are participating in a health insurance program.</t>
  </si>
  <si>
    <t>Projected Collection Rate for Current Levy (98%=.98; 100%=1, etc.)</t>
  </si>
  <si>
    <t>&lt;= Enter the district's projected tax collection rate (if 98%, enter .98, etc.….if 100%, enter 1).</t>
  </si>
  <si>
    <t>2020 Total Taxable Value</t>
  </si>
  <si>
    <t>&lt;= Enter the district's total taxable value for tax year 2020 as it appears on Line 18 of the Comptroller's Effective Tax Rate Worksheet, which is part of the Truth-in-Taxation publication for 2020 (may not be available yet).</t>
  </si>
  <si>
    <t>2020 Total I&amp;S Taxable Value (for Chapter 313 districts)</t>
  </si>
  <si>
    <t xml:space="preserve">&lt;= Enter the district's total taxable value for I&amp;S purposes for tax year 2020 only if the district has a Chapter 313 agreement.  </t>
  </si>
  <si>
    <t>Certified Excess 2019 Debt Collections</t>
  </si>
  <si>
    <t>&lt;= Enter the amount of excess 2019 debt collections as certified by the Chief Appraiser (Line 29 on the Comptroller's Rollback Tax Rate Worksheet, if available).</t>
  </si>
  <si>
    <t>TRE Cents Approved by the District's Voters (enter as .09, .13, etc)</t>
  </si>
  <si>
    <t>&lt;= If the district has had a successful TRE, enter the number of cents  authorized (for example, enter .13 for 13 cents)</t>
  </si>
  <si>
    <t>Data Automatically Loaded</t>
  </si>
  <si>
    <t>M&amp;O Compressed Rate - Old Law</t>
  </si>
  <si>
    <t xml:space="preserve">&lt;= This cell is calculated for you. </t>
  </si>
  <si>
    <t>M&amp;O Compressed Rate - HB 3</t>
  </si>
  <si>
    <t>Highest Grade Taught</t>
  </si>
  <si>
    <t>&lt;= The highest grade taught is entered for you - if it has changed, unprotect this sheet and enter the new value (not necessary if district is greater than 1,600 ADA).</t>
  </si>
  <si>
    <t>Square Miles</t>
  </si>
  <si>
    <t xml:space="preserve">&lt;= The number of square miles in the district is entered for you - if it has changed, unprotect this sheet and enter the new value (not necessary if district more than 1,600 ADA).  </t>
  </si>
  <si>
    <t>Miles From Nearest HS</t>
  </si>
  <si>
    <t>&lt;= The number of miles from nearest high school is entered for you - if it has changed, unprotect this sheet and enter the new value (not necessary if district greater than 130 ADA).</t>
  </si>
  <si>
    <t>Unadjusted Cost of Education Index</t>
  </si>
  <si>
    <t>&lt;= This cell is completed for you.</t>
  </si>
  <si>
    <t>Is district a fast-growth district as determined by TEA? (Y=yes; 0=no)</t>
  </si>
  <si>
    <t>2005-06 M&amp;O Adopted Tax Rate</t>
  </si>
  <si>
    <t>2008-09 WADA</t>
  </si>
  <si>
    <t>&lt;= This cell is completed for you - the amount may have changed since the data were loaded. Check your latest Summary of Finances to make sure the latest amount loads.  If it has changed, unprotect and enter the latest amount.</t>
  </si>
  <si>
    <t>2009-10 Transportation Allotment</t>
  </si>
  <si>
    <t>2009-10 New Instructional Facilities Allotment (NIFA)</t>
  </si>
  <si>
    <t>2009-10 Adjusted HB 1 Revenue per WADA</t>
  </si>
  <si>
    <t>2017-18 Total Refined ADA</t>
  </si>
  <si>
    <t>2016-17 Total Refined ADA</t>
  </si>
  <si>
    <t>2015 CPTD "T10" Value</t>
  </si>
  <si>
    <t>2016-17 I&amp;S Tax Collections</t>
  </si>
  <si>
    <t xml:space="preserve">2016-17 Local Share of EDA </t>
  </si>
  <si>
    <t>2016-17 Local Share Awarded for Bonded Debt</t>
  </si>
  <si>
    <t>2014-15 M&amp;O Adopted Tax Rate</t>
  </si>
  <si>
    <t>Chapter 41 Data:</t>
  </si>
  <si>
    <t>1992-93 M&amp;O Tax Collections</t>
  </si>
  <si>
    <t>1992-93 CED Distribution</t>
  </si>
  <si>
    <t>1992-93 Chapter 36 WADA</t>
  </si>
  <si>
    <t>1991 CPTD Property Value</t>
  </si>
  <si>
    <t>2004-05 Chapter 41 Hold Harmless Level</t>
  </si>
  <si>
    <t>&lt;= Get from TEA's Cost of Options report or Chapter 41 Manual.</t>
  </si>
  <si>
    <t>19-20</t>
  </si>
  <si>
    <t>From HB 3:</t>
  </si>
  <si>
    <t>18-19 M&amp;O rate</t>
  </si>
  <si>
    <t xml:space="preserve">"E" is the expiration of the exclusion of appraised property value </t>
  </si>
  <si>
    <t>rate subject to .93 compression</t>
  </si>
  <si>
    <t>for the preceding tax year that is recognized as taxable</t>
  </si>
  <si>
    <t>18-19 remaining enrichment pennies</t>
  </si>
  <si>
    <t>property value for the current tax year, which is the sum of the</t>
  </si>
  <si>
    <t>18-19 golden pennies</t>
  </si>
  <si>
    <t>following:</t>
  </si>
  <si>
    <t>18-19 copper pennies before compression</t>
  </si>
  <si>
    <t>(A) property value that is no longer subject to a limitation on</t>
  </si>
  <si>
    <t>19-20 copper pennies after compression</t>
  </si>
  <si>
    <t>appraised value under Chapter 313 Tax Code; and</t>
  </si>
  <si>
    <t>19-20 compressed rate up to $1.00 of 18-19 M&amp;O rate</t>
  </si>
  <si>
    <t>(B) property value under Section 311.013(n), Tax Code,</t>
  </si>
  <si>
    <t>19-20 total compressed rate</t>
  </si>
  <si>
    <t>that is no longer excluded from the calculation of "DPV"</t>
  </si>
  <si>
    <t>Tier I LFA</t>
  </si>
  <si>
    <t>from the preceding year because of refinancing or renewal</t>
  </si>
  <si>
    <t>19-20 remaining "enrichment" pennies</t>
  </si>
  <si>
    <t>after September 1, 2019.</t>
  </si>
  <si>
    <t>19-20 golden pennies</t>
  </si>
  <si>
    <t>19-20 copper pennies</t>
  </si>
  <si>
    <t>20-21</t>
  </si>
  <si>
    <t>21-22</t>
  </si>
  <si>
    <t>22-23</t>
  </si>
  <si>
    <t>23-24</t>
  </si>
  <si>
    <t>Tier I Compressed Rate</t>
  </si>
  <si>
    <t>Enrichment Pennies</t>
  </si>
  <si>
    <t>Golden Pennies</t>
  </si>
  <si>
    <t>Copper Pennies</t>
  </si>
  <si>
    <t>Copper Pennies After Compression</t>
  </si>
  <si>
    <t># of copper pennies compressed</t>
  </si>
  <si>
    <t>Enrichment Pennies After Compression</t>
  </si>
  <si>
    <t>Harris Co districts</t>
  </si>
  <si>
    <t>"extra" pennies</t>
  </si>
  <si>
    <t>101-902</t>
  </si>
  <si>
    <t>101-908</t>
  </si>
  <si>
    <t>101-910</t>
  </si>
  <si>
    <t>101-914</t>
  </si>
  <si>
    <t>GT MAX</t>
  </si>
  <si>
    <t>101-917</t>
  </si>
  <si>
    <t>101-920</t>
  </si>
  <si>
    <t>Sparsity</t>
  </si>
  <si>
    <t>yes</t>
  </si>
  <si>
    <t>13-14</t>
  </si>
  <si>
    <t>Tax Benefit to Company Before Revenue Protection</t>
  </si>
  <si>
    <t>Taxes Before Value Limit</t>
  </si>
  <si>
    <t>Taxes after Value Limit</t>
  </si>
  <si>
    <t>School District Revenue Losses</t>
  </si>
  <si>
    <t>013-905</t>
  </si>
  <si>
    <t>.</t>
  </si>
  <si>
    <t>013905</t>
  </si>
  <si>
    <t>[Wind] Renewable Energy Electric Generation</t>
  </si>
  <si>
    <t>Skidmore-Tynan ISD</t>
  </si>
  <si>
    <t>Karankawa Wind, LLC</t>
  </si>
  <si>
    <t>10-16-2017</t>
  </si>
  <si>
    <t>Terry W. Smith</t>
  </si>
  <si>
    <t>Consultant/ Sara Leon &amp; Associates</t>
  </si>
  <si>
    <t>(210) 867-2256</t>
  </si>
  <si>
    <t>tsmith@saraleonlaw.com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</si>
</sst>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4" formatCode="_(&quot;$&quot;* #,##0.00_);_(&quot;$&quot;* \(#,##0.00\);_(&quot;$&quot;* &quot;-&quot;??_);_(@_)"/>
    <numFmt numFmtId="43" formatCode="_(* #,##0.00_);_(* \(#,##0.00\);_(* &quot;-&quot;??_);_(@_)"/>
    <numFmt numFmtId="164" formatCode="&quot;$&quot;#,##0"/>
    <numFmt numFmtId="165" formatCode="0000"/>
    <numFmt numFmtId="166" formatCode="m/d/yyyy;@"/>
    <numFmt numFmtId="167" formatCode="#,##0.000_);[Red]\(#,##0.000\)"/>
    <numFmt numFmtId="168" formatCode="#,##0.0000_);[Red]\(#,##0.0000\)"/>
    <numFmt numFmtId="169" formatCode="#,##0.0000"/>
    <numFmt numFmtId="170" formatCode="0.0000"/>
    <numFmt numFmtId="171" formatCode="#,##0.000_);\(#,##0.000\)"/>
    <numFmt numFmtId="172" formatCode="#,##0.00000_);[Red]\(#,##0.00000\)"/>
    <numFmt numFmtId="173" formatCode=";;"/>
    <numFmt numFmtId="174" formatCode="#,##0.0000_);\(#,##0.0000\)"/>
    <numFmt numFmtId="175" formatCode="#,##0.0_);\(#,##0.0\)"/>
    <numFmt numFmtId="176" formatCode="_(* #,##0_);_(* \(#,##0\);_(* &quot;-&quot;??_);_(@_)"/>
    <numFmt numFmtId="177" formatCode="General_)"/>
  </numFmts>
  <fonts count="76">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theme="1"/>
      <name val="Calibri"/>
      <family val="2"/>
      <scheme val="minor"/>
    </font>
    <font>
      <sz val="11"/>
      <color theme="0"/>
      <name val="Calibri"/>
      <family val="2"/>
      <scheme val="minor"/>
    </font>
    <font>
      <b/>
      <sz val="12"/>
      <color theme="1"/>
      <name val="Calibri"/>
      <family val="2"/>
      <scheme val="minor"/>
    </font>
    <font>
      <b/>
      <sz val="12"/>
      <name val="Calibri"/>
      <family val="2"/>
      <scheme val="minor"/>
    </font>
    <font>
      <b/>
      <sz val="12"/>
      <color indexed="8"/>
      <name val="Arial MT"/>
    </font>
    <font>
      <sz val="12"/>
      <name val="Arial MT"/>
    </font>
    <font>
      <b/>
      <sz val="12"/>
      <color indexed="10"/>
      <name val="Arial MT"/>
    </font>
    <font>
      <b/>
      <sz val="12"/>
      <name val="Arial MT"/>
    </font>
    <font>
      <sz val="12"/>
      <color indexed="10"/>
      <name val="Arial MT"/>
    </font>
    <font>
      <b/>
      <i/>
      <sz val="12"/>
      <color indexed="10"/>
      <name val="Arial MT"/>
    </font>
    <font>
      <b/>
      <sz val="10"/>
      <color indexed="21"/>
      <name val="Arial MT"/>
    </font>
    <font>
      <b/>
      <sz val="10"/>
      <name val="Arial MT"/>
    </font>
    <font>
      <b/>
      <sz val="12"/>
      <color rgb="FFFF0000"/>
      <name val="Arial MT"/>
    </font>
    <font>
      <b/>
      <sz val="12"/>
      <color indexed="30"/>
      <name val="Arial MT"/>
    </font>
    <font>
      <b/>
      <sz val="10"/>
      <color indexed="8"/>
      <name val="Arial MT"/>
    </font>
    <font>
      <sz val="12"/>
      <name val="Arial Black"/>
      <family val="2"/>
    </font>
    <font>
      <b/>
      <sz val="10"/>
      <color indexed="30"/>
      <name val="Arial MT"/>
    </font>
    <font>
      <b/>
      <sz val="14"/>
      <color indexed="62"/>
      <name val="Arial MT"/>
    </font>
    <font>
      <sz val="14"/>
      <name val="Arial MT"/>
    </font>
    <font>
      <b/>
      <sz val="14"/>
      <color indexed="21"/>
      <name val="Arial MT"/>
    </font>
    <font>
      <b/>
      <sz val="14"/>
      <color indexed="30"/>
      <name val="Arial MT"/>
    </font>
    <font>
      <b/>
      <sz val="10"/>
      <color indexed="12"/>
      <name val="Arial MT"/>
    </font>
    <font>
      <b/>
      <sz val="14"/>
      <name val="Arial MT"/>
    </font>
    <font>
      <b/>
      <sz val="14"/>
      <color indexed="10"/>
      <name val="Arial MT"/>
    </font>
    <font>
      <b/>
      <sz val="14"/>
      <color indexed="56"/>
      <name val="Arial MT"/>
    </font>
    <font>
      <b/>
      <sz val="12"/>
      <color indexed="17"/>
      <name val="Arial MT"/>
    </font>
    <font>
      <b/>
      <sz val="14"/>
      <color indexed="17"/>
      <name val="Arial MT"/>
    </font>
    <font>
      <b/>
      <sz val="12"/>
      <color indexed="60"/>
      <name val="Arial MT"/>
    </font>
    <font>
      <b/>
      <sz val="12"/>
      <color rgb="FFA50021"/>
      <name val="Arial MT"/>
    </font>
    <font>
      <b/>
      <sz val="12"/>
      <color rgb="FFCC3300"/>
      <name val="Arial MT"/>
    </font>
    <font>
      <b/>
      <sz val="12"/>
      <color rgb="FFCC00CC"/>
      <name val="Arial MT"/>
    </font>
    <font>
      <b/>
      <sz val="12"/>
      <color indexed="12"/>
      <name val="Arial MT"/>
    </font>
    <font>
      <b/>
      <sz val="12"/>
      <color theme="9" tint="-0.499984740745262"/>
      <name val="Arial MT"/>
    </font>
    <font>
      <b/>
      <sz val="12"/>
      <color indexed="20"/>
      <name val="Arial MT"/>
    </font>
    <font>
      <sz val="10"/>
      <color theme="9" tint="-0.499984740745262"/>
      <name val="Arial MT"/>
    </font>
    <font>
      <sz val="10"/>
      <color rgb="FFA50021"/>
      <name val="Arial MT"/>
    </font>
    <font>
      <b/>
      <sz val="12"/>
      <color indexed="28"/>
      <name val="Arial MT"/>
    </font>
    <font>
      <b/>
      <sz val="12"/>
      <color indexed="14"/>
      <name val="Arial MT"/>
    </font>
    <font>
      <sz val="12"/>
      <color indexed="30"/>
      <name val="Arial MT"/>
    </font>
    <font>
      <b/>
      <sz val="10"/>
      <color rgb="FFFF0000"/>
      <name val="Arial MT"/>
    </font>
    <font>
      <b/>
      <sz val="14"/>
      <color rgb="FF003366"/>
      <name val="Arial MT"/>
    </font>
    <font>
      <b/>
      <sz val="14"/>
      <color rgb="FFFF0000"/>
      <name val="Arial MT"/>
    </font>
    <font>
      <b/>
      <sz val="14"/>
      <color theme="9" tint="-0.499984740745262"/>
      <name val="Arial MT"/>
    </font>
    <font>
      <i/>
      <sz val="12"/>
      <name val="Arial MT"/>
    </font>
    <font>
      <b/>
      <sz val="10"/>
      <color indexed="10"/>
      <name val="Arial MT"/>
    </font>
    <font>
      <b/>
      <sz val="10"/>
      <color indexed="20"/>
      <name val="Arial MT"/>
    </font>
    <font>
      <b/>
      <sz val="10"/>
      <color indexed="17"/>
      <name val="Arial MT"/>
    </font>
    <font>
      <sz val="10"/>
      <name val="Arial MT"/>
    </font>
    <font>
      <b/>
      <sz val="12"/>
      <color rgb="FF002060"/>
      <name val="Arial MT"/>
    </font>
    <font>
      <b/>
      <sz val="12"/>
      <color rgb="FFC00000"/>
      <name val="Arial MT"/>
    </font>
    <font>
      <sz val="12"/>
      <color indexed="8"/>
      <name val="Arial MT"/>
    </font>
    <font>
      <b/>
      <sz val="12"/>
      <color indexed="62"/>
      <name val="Arial MT"/>
    </font>
    <font>
      <b/>
      <sz val="10"/>
      <color indexed="28"/>
      <name val="Arial MT"/>
    </font>
    <font>
      <b/>
      <sz val="10"/>
      <color theme="9" tint="-0.499984740745262"/>
      <name val="Arial MT"/>
    </font>
    <font>
      <b/>
      <sz val="12"/>
      <color indexed="44"/>
      <name val="Arial MT"/>
    </font>
    <font>
      <b/>
      <sz val="12"/>
      <color rgb="FF008080"/>
      <name val="Arial MT"/>
    </font>
    <font>
      <sz val="12"/>
      <color rgb="FF0000CC"/>
      <name val="Arial MT"/>
    </font>
    <font>
      <sz val="10"/>
      <color rgb="FF008080"/>
      <name val="Arial MT"/>
    </font>
    <font>
      <sz val="10"/>
      <color indexed="21"/>
      <name val="Arial MT"/>
    </font>
    <font>
      <b/>
      <sz val="10"/>
      <color rgb="FF3333FF"/>
      <name val="Arial MT"/>
    </font>
    <font>
      <b/>
      <sz val="10"/>
      <color indexed="60"/>
      <name val="Arial MT"/>
    </font>
    <font>
      <b/>
      <sz val="10"/>
      <color indexed="62"/>
      <name val="Arial MT"/>
    </font>
    <font>
      <u/>
      <sz val="11"/>
      <color theme="10"/>
      <name val="Calibri"/>
      <family val="2"/>
      <scheme val="minor"/>
    </font>
  </fonts>
  <fills count="22">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
      <patternFill patternType="solid">
        <fgColor rgb="FFCCFF33"/>
        <bgColor indexed="64"/>
      </patternFill>
    </fill>
    <fill>
      <patternFill patternType="solid">
        <fgColor indexed="26"/>
        <bgColor indexed="64"/>
      </patternFill>
    </fill>
    <fill>
      <patternFill patternType="solid">
        <fgColor rgb="FFFF0000"/>
        <bgColor indexed="64"/>
      </patternFill>
    </fill>
    <fill>
      <patternFill patternType="solid">
        <fgColor indexed="13"/>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39994506668294322"/>
        <bgColor indexed="64"/>
      </patternFill>
    </fill>
    <fill>
      <patternFill patternType="solid">
        <fgColor theme="6" tint="0.59996337778862885"/>
        <bgColor indexed="64"/>
      </patternFill>
    </fill>
    <fill>
      <patternFill patternType="solid">
        <fgColor rgb="FFFFCCFF"/>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indexed="31"/>
        <bgColor indexed="64"/>
      </patternFill>
    </fill>
    <fill>
      <patternFill patternType="solid">
        <fgColor rgb="FFDDEBF7"/>
        <bgColor indexed="64"/>
      </patternFill>
    </fill>
    <fill>
      <patternFill patternType="solid">
        <fgColor theme="4" tint="0.59999389629810485"/>
        <bgColor indexed="64"/>
      </patternFill>
    </fill>
    <fill>
      <patternFill patternType="solid">
        <fgColor theme="0" tint="-0.24994659260841701"/>
        <bgColor indexed="64"/>
      </patternFill>
    </fill>
    <fill>
      <patternFill patternType="solid">
        <fgColor rgb="FFFFFF00"/>
        <bgColor indexed="64"/>
      </patternFill>
    </fill>
  </fills>
  <borders count="1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3" fillId="0" borderId="0" applyFont="0" applyFill="0" applyBorder="0" applyAlignment="0" applyProtection="0"/>
    <xf numFmtId="43" fontId="13" fillId="0" borderId="0" applyFont="0" applyFill="0" applyBorder="0" applyAlignment="0" applyProtection="0"/>
    <xf numFmtId="0" fontId="75" fillId="0" borderId="0" applyNumberFormat="0" applyFill="0" applyBorder="0" applyAlignment="0" applyProtection="0"/>
  </cellStyleXfs>
  <cellXfs count="621">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0" fontId="5" fillId="0" borderId="5"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0" fillId="0" borderId="2" xfId="0"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6"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6"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6" xfId="0" applyFont="1" applyFill="1" applyBorder="1" applyAlignment="1">
      <alignment horizontal="left"/>
    </xf>
    <xf numFmtId="0" fontId="10" fillId="0" borderId="0" xfId="0" applyFont="1"/>
    <xf numFmtId="0" fontId="12" fillId="0" borderId="0" xfId="0" applyFont="1"/>
    <xf numFmtId="0" fontId="11" fillId="0" borderId="2" xfId="0" applyFont="1" applyBorder="1"/>
    <xf numFmtId="165" fontId="0" fillId="0" borderId="2" xfId="0" applyNumberFormat="1" applyFont="1" applyFill="1" applyBorder="1" applyAlignment="1">
      <alignment horizontal="center"/>
    </xf>
    <xf numFmtId="49" fontId="0" fillId="0" borderId="6" xfId="0" applyNumberFormat="1" applyFont="1" applyBorder="1" applyAlignment="1">
      <alignment horizontal="center"/>
    </xf>
    <xf numFmtId="0" fontId="2" fillId="0" borderId="0" xfId="0" applyFont="1" applyAlignment="1">
      <alignment horizontal="right"/>
    </xf>
    <xf numFmtId="0" fontId="12" fillId="0" borderId="2" xfId="0" applyFont="1" applyBorder="1"/>
    <xf numFmtId="0" fontId="0" fillId="0" borderId="2" xfId="0" applyFont="1" applyBorder="1"/>
    <xf numFmtId="0" fontId="0" fillId="0" borderId="4" xfId="0" applyFont="1" applyBorder="1"/>
    <xf numFmtId="0" fontId="0" fillId="0" borderId="8" xfId="0" applyFont="1" applyBorder="1"/>
    <xf numFmtId="0" fontId="15" fillId="0" borderId="2" xfId="0" applyFont="1" applyBorder="1" applyAlignment="1">
      <alignment horizontal="center"/>
    </xf>
    <xf numFmtId="0" fontId="16" fillId="0" borderId="2" xfId="0" applyFont="1" applyBorder="1" applyAlignment="1">
      <alignment horizontal="center"/>
    </xf>
    <xf numFmtId="0" fontId="15" fillId="0" borderId="2" xfId="0" applyFont="1" applyBorder="1" applyAlignment="1">
      <alignment horizontal="center" wrapText="1"/>
    </xf>
    <xf numFmtId="0" fontId="5" fillId="0" borderId="2" xfId="0" applyFont="1" applyBorder="1" applyAlignment="1">
      <alignment horizontal="right"/>
    </xf>
    <xf numFmtId="0" fontId="0" fillId="0" borderId="8" xfId="0" applyFont="1" applyBorder="1" applyAlignment="1">
      <alignment horizontal="center" wrapText="1"/>
    </xf>
    <xf numFmtId="0" fontId="5" fillId="0" borderId="0" xfId="0" applyFont="1"/>
    <xf numFmtId="0" fontId="9" fillId="0" borderId="8" xfId="0" applyFont="1" applyBorder="1"/>
    <xf numFmtId="0" fontId="0" fillId="0" borderId="2" xfId="0" applyFont="1" applyBorder="1" applyAlignment="1">
      <alignment horizontal="right"/>
    </xf>
    <xf numFmtId="0" fontId="0" fillId="0" borderId="2" xfId="0" applyFont="1" applyBorder="1" applyAlignment="1">
      <alignment horizontal="center"/>
    </xf>
    <xf numFmtId="0" fontId="9" fillId="0" borderId="2" xfId="0" applyFont="1" applyBorder="1" applyAlignment="1">
      <alignment horizontal="right"/>
    </xf>
    <xf numFmtId="49" fontId="0" fillId="0" borderId="2" xfId="0" applyNumberFormat="1" applyFont="1" applyFill="1" applyBorder="1" applyAlignment="1">
      <alignment horizontal="left"/>
    </xf>
    <xf numFmtId="0" fontId="8" fillId="0" borderId="2" xfId="0" applyFont="1" applyBorder="1" applyAlignment="1">
      <alignment horizontal="left"/>
    </xf>
    <xf numFmtId="0" fontId="0" fillId="0" borderId="2" xfId="0" applyFont="1" applyBorder="1" applyAlignment="1">
      <alignment horizontal="left"/>
    </xf>
    <xf numFmtId="0" fontId="8" fillId="0" borderId="2" xfId="0" applyFont="1" applyBorder="1"/>
    <xf numFmtId="0" fontId="0" fillId="0" borderId="0" xfId="0" applyFont="1" applyBorder="1" applyAlignment="1">
      <alignment horizontal="center" wrapText="1"/>
    </xf>
    <xf numFmtId="0" fontId="5" fillId="0" borderId="2" xfId="0" applyFont="1" applyBorder="1" applyAlignment="1">
      <alignment horizontal="center"/>
    </xf>
    <xf numFmtId="164" fontId="0" fillId="2" borderId="2" xfId="1" applyNumberFormat="1" applyFont="1" applyFill="1" applyBorder="1"/>
    <xf numFmtId="164" fontId="0" fillId="3" borderId="2" xfId="1" applyNumberFormat="1" applyFont="1" applyFill="1" applyBorder="1"/>
    <xf numFmtId="0" fontId="14" fillId="0" borderId="2" xfId="0" applyFont="1" applyBorder="1"/>
    <xf numFmtId="0" fontId="5" fillId="0" borderId="4" xfId="0" applyFont="1" applyBorder="1"/>
    <xf numFmtId="0" fontId="5" fillId="0" borderId="8" xfId="0" applyFont="1" applyBorder="1"/>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0" fillId="0" borderId="4" xfId="0" applyFont="1" applyFill="1" applyBorder="1"/>
    <xf numFmtId="0" fontId="0" fillId="0" borderId="8" xfId="0" applyFont="1" applyFill="1" applyBorder="1"/>
    <xf numFmtId="0" fontId="1" fillId="0" borderId="2" xfId="0" applyFont="1" applyBorder="1"/>
    <xf numFmtId="0" fontId="5" fillId="0" borderId="2" xfId="0" applyFont="1" applyBorder="1" applyAlignment="1">
      <alignment horizontal="left"/>
    </xf>
    <xf numFmtId="0" fontId="0" fillId="0" borderId="2" xfId="0" applyBorder="1" applyAlignment="1">
      <alignment horizontal="right"/>
    </xf>
    <xf numFmtId="0" fontId="17" fillId="0" borderId="0" xfId="0" applyFont="1"/>
    <xf numFmtId="49" fontId="18" fillId="0" borderId="2" xfId="0" applyNumberFormat="1" applyFont="1" applyBorder="1"/>
    <xf numFmtId="0" fontId="18" fillId="0" borderId="0" xfId="0" applyFont="1"/>
    <xf numFmtId="0" fontId="18" fillId="4" borderId="0" xfId="0" applyFont="1" applyFill="1"/>
    <xf numFmtId="0" fontId="19" fillId="4" borderId="0" xfId="0" quotePrefix="1" applyFont="1" applyFill="1"/>
    <xf numFmtId="0" fontId="18" fillId="5" borderId="0" xfId="0" applyFont="1" applyFill="1"/>
    <xf numFmtId="0" fontId="20" fillId="6" borderId="9" xfId="0" applyFont="1" applyFill="1" applyBorder="1" applyAlignment="1">
      <alignment horizontal="center"/>
    </xf>
    <xf numFmtId="0" fontId="20" fillId="0" borderId="0" xfId="0" applyFont="1"/>
    <xf numFmtId="0" fontId="21" fillId="4" borderId="0" xfId="0" quotePrefix="1" applyFont="1" applyFill="1"/>
    <xf numFmtId="14" fontId="18" fillId="0" borderId="2" xfId="0" quotePrefix="1" applyNumberFormat="1" applyFont="1" applyBorder="1" applyAlignment="1" applyProtection="1">
      <alignment horizontal="left"/>
      <protection locked="0"/>
    </xf>
    <xf numFmtId="0" fontId="23" fillId="4" borderId="0" xfId="0" applyFont="1" applyFill="1"/>
    <xf numFmtId="14" fontId="24" fillId="0" borderId="0" xfId="0" applyNumberFormat="1" applyFont="1" applyAlignment="1">
      <alignment horizontal="right"/>
    </xf>
    <xf numFmtId="14" fontId="20" fillId="0" borderId="0" xfId="0" applyNumberFormat="1" applyFont="1" applyAlignment="1">
      <alignment horizontal="right"/>
    </xf>
    <xf numFmtId="15" fontId="18" fillId="0" borderId="0" xfId="0" applyNumberFormat="1" applyFont="1" applyAlignment="1">
      <alignment horizontal="right"/>
    </xf>
    <xf numFmtId="0" fontId="25" fillId="4" borderId="0" xfId="0" quotePrefix="1" applyFont="1" applyFill="1"/>
    <xf numFmtId="0" fontId="26" fillId="0" borderId="0" xfId="0" applyFont="1"/>
    <xf numFmtId="0" fontId="27" fillId="0" borderId="0" xfId="0" applyFont="1"/>
    <xf numFmtId="18" fontId="28" fillId="0" borderId="0" xfId="0" applyNumberFormat="1" applyFont="1" applyProtection="1">
      <protection locked="0"/>
    </xf>
    <xf numFmtId="0" fontId="23" fillId="8" borderId="0" xfId="0" applyFont="1" applyFill="1"/>
    <xf numFmtId="0" fontId="0" fillId="8" borderId="0" xfId="0" applyFill="1"/>
    <xf numFmtId="0" fontId="0" fillId="5" borderId="0" xfId="0" applyFill="1"/>
    <xf numFmtId="0" fontId="0" fillId="4" borderId="0" xfId="0" applyFill="1"/>
    <xf numFmtId="0" fontId="29" fillId="0" borderId="0" xfId="0" applyFont="1"/>
    <xf numFmtId="0" fontId="30" fillId="9" borderId="4" xfId="0" applyFont="1" applyFill="1" applyBorder="1" applyAlignment="1">
      <alignment horizontal="left"/>
    </xf>
    <xf numFmtId="0" fontId="31" fillId="9" borderId="8" xfId="0" applyFont="1" applyFill="1" applyBorder="1"/>
    <xf numFmtId="0" fontId="32" fillId="8" borderId="8" xfId="0" applyFont="1" applyFill="1" applyBorder="1"/>
    <xf numFmtId="0" fontId="31" fillId="8" borderId="4" xfId="0" applyFont="1" applyFill="1" applyBorder="1"/>
    <xf numFmtId="0" fontId="31" fillId="5" borderId="0" xfId="0" applyFont="1" applyFill="1"/>
    <xf numFmtId="0" fontId="31" fillId="0" borderId="0" xfId="0" applyFont="1"/>
    <xf numFmtId="0" fontId="31" fillId="4" borderId="0" xfId="0" applyFont="1" applyFill="1"/>
    <xf numFmtId="0" fontId="33" fillId="0" borderId="0" xfId="0" applyFont="1"/>
    <xf numFmtId="0" fontId="34" fillId="0" borderId="0" xfId="0" applyFont="1" applyAlignment="1">
      <alignment horizontal="left"/>
    </xf>
    <xf numFmtId="0" fontId="19" fillId="0" borderId="0" xfId="0" applyFont="1"/>
    <xf numFmtId="0" fontId="24" fillId="0" borderId="0" xfId="0" applyFont="1"/>
    <xf numFmtId="0" fontId="23" fillId="0" borderId="0" xfId="0" applyFont="1"/>
    <xf numFmtId="0" fontId="20" fillId="4" borderId="4" xfId="0" applyFont="1" applyFill="1" applyBorder="1"/>
    <xf numFmtId="0" fontId="25" fillId="4" borderId="8" xfId="0" applyFont="1" applyFill="1" applyBorder="1" applyAlignment="1">
      <alignment horizontal="right"/>
    </xf>
    <xf numFmtId="0" fontId="25" fillId="10" borderId="7" xfId="0" applyFont="1" applyFill="1" applyBorder="1"/>
    <xf numFmtId="0" fontId="25" fillId="10" borderId="7" xfId="0" applyFont="1" applyFill="1" applyBorder="1" applyAlignment="1">
      <alignment horizontal="right"/>
    </xf>
    <xf numFmtId="0" fontId="23" fillId="0" borderId="8" xfId="0" applyFont="1" applyBorder="1"/>
    <xf numFmtId="0" fontId="35" fillId="6" borderId="9" xfId="0" applyFont="1" applyFill="1" applyBorder="1" applyAlignment="1">
      <alignment horizontal="center"/>
    </xf>
    <xf numFmtId="0" fontId="36" fillId="5" borderId="0" xfId="0" applyFont="1" applyFill="1" applyAlignment="1">
      <alignment horizontal="center"/>
    </xf>
    <xf numFmtId="0" fontId="0" fillId="11" borderId="10" xfId="0" applyFill="1" applyBorder="1"/>
    <xf numFmtId="0" fontId="36" fillId="11" borderId="11" xfId="0" applyFont="1" applyFill="1" applyBorder="1"/>
    <xf numFmtId="0" fontId="37" fillId="8" borderId="9" xfId="0" applyFont="1" applyFill="1" applyBorder="1" applyAlignment="1">
      <alignment horizontal="center"/>
    </xf>
    <xf numFmtId="0" fontId="37" fillId="11" borderId="9" xfId="0" applyFont="1" applyFill="1" applyBorder="1" applyAlignment="1">
      <alignment horizontal="center"/>
    </xf>
    <xf numFmtId="167" fontId="38" fillId="4" borderId="0" xfId="0" applyNumberFormat="1" applyFont="1" applyFill="1" applyProtection="1">
      <protection locked="0"/>
    </xf>
    <xf numFmtId="0" fontId="39" fillId="5" borderId="3" xfId="0" applyFont="1" applyFill="1" applyBorder="1" applyAlignment="1">
      <alignment horizontal="center"/>
    </xf>
    <xf numFmtId="0" fontId="35" fillId="0" borderId="0" xfId="0" applyFont="1"/>
    <xf numFmtId="0" fontId="35" fillId="11" borderId="4" xfId="0" applyFont="1" applyFill="1" applyBorder="1"/>
    <xf numFmtId="0" fontId="0" fillId="11" borderId="8" xfId="0" applyFill="1" applyBorder="1"/>
    <xf numFmtId="0" fontId="18" fillId="0" borderId="4" xfId="0" applyFont="1" applyBorder="1"/>
    <xf numFmtId="0" fontId="17" fillId="0" borderId="7" xfId="0" applyFont="1" applyBorder="1"/>
    <xf numFmtId="0" fontId="18" fillId="8" borderId="0" xfId="0" applyFont="1" applyFill="1"/>
    <xf numFmtId="167" fontId="41" fillId="10" borderId="2" xfId="0" applyNumberFormat="1" applyFont="1" applyFill="1" applyBorder="1"/>
    <xf numFmtId="0" fontId="0" fillId="3" borderId="2" xfId="0" applyFill="1" applyBorder="1"/>
    <xf numFmtId="167" fontId="38" fillId="5" borderId="0" xfId="0" applyNumberFormat="1" applyFont="1" applyFill="1" applyProtection="1">
      <protection locked="0"/>
    </xf>
    <xf numFmtId="167" fontId="20" fillId="10" borderId="2" xfId="0" applyNumberFormat="1" applyFont="1" applyFill="1" applyBorder="1"/>
    <xf numFmtId="168" fontId="19" fillId="0" borderId="0" xfId="0" applyNumberFormat="1" applyFont="1"/>
    <xf numFmtId="168" fontId="46" fillId="0" borderId="0" xfId="0" applyNumberFormat="1" applyFont="1" applyProtection="1">
      <protection locked="0"/>
    </xf>
    <xf numFmtId="0" fontId="18" fillId="6" borderId="4" xfId="0" applyFont="1" applyFill="1" applyBorder="1"/>
    <xf numFmtId="0" fontId="17" fillId="6" borderId="7" xfId="0" applyFont="1" applyFill="1" applyBorder="1"/>
    <xf numFmtId="167" fontId="40" fillId="8" borderId="5" xfId="0" applyNumberFormat="1" applyFont="1" applyFill="1" applyBorder="1" applyProtection="1">
      <protection locked="0"/>
    </xf>
    <xf numFmtId="0" fontId="0" fillId="12" borderId="2" xfId="0" applyFill="1" applyBorder="1"/>
    <xf numFmtId="167" fontId="20" fillId="10" borderId="2" xfId="0" applyNumberFormat="1" applyFont="1" applyFill="1" applyBorder="1" applyAlignment="1" applyProtection="1">
      <alignment horizontal="center"/>
      <protection locked="0"/>
    </xf>
    <xf numFmtId="167" fontId="42" fillId="4" borderId="2" xfId="0" applyNumberFormat="1" applyFont="1" applyFill="1" applyBorder="1" applyAlignment="1" applyProtection="1">
      <alignment horizontal="center"/>
      <protection locked="0"/>
    </xf>
    <xf numFmtId="167" fontId="43" fillId="4" borderId="2" xfId="0" applyNumberFormat="1" applyFont="1" applyFill="1" applyBorder="1" applyAlignment="1" applyProtection="1">
      <alignment horizontal="center"/>
      <protection locked="0"/>
    </xf>
    <xf numFmtId="167" fontId="20" fillId="4" borderId="2" xfId="0" applyNumberFormat="1" applyFont="1" applyFill="1" applyBorder="1" applyAlignment="1" applyProtection="1">
      <alignment horizontal="center"/>
      <protection locked="0"/>
    </xf>
    <xf numFmtId="0" fontId="20" fillId="11" borderId="0" xfId="0" applyFont="1" applyFill="1"/>
    <xf numFmtId="0" fontId="0" fillId="11" borderId="0" xfId="0" applyFill="1"/>
    <xf numFmtId="0" fontId="0" fillId="8" borderId="2" xfId="0" applyFill="1" applyBorder="1"/>
    <xf numFmtId="0" fontId="0" fillId="11" borderId="2" xfId="0" applyFill="1" applyBorder="1"/>
    <xf numFmtId="0" fontId="47" fillId="11" borderId="2" xfId="0" applyFont="1" applyFill="1" applyBorder="1"/>
    <xf numFmtId="167" fontId="38" fillId="5" borderId="3" xfId="0" applyNumberFormat="1" applyFont="1" applyFill="1" applyBorder="1"/>
    <xf numFmtId="0" fontId="19" fillId="5" borderId="0" xfId="0" applyFont="1" applyFill="1"/>
    <xf numFmtId="168" fontId="46" fillId="5" borderId="0" xfId="0" applyNumberFormat="1" applyFont="1" applyFill="1"/>
    <xf numFmtId="0" fontId="18" fillId="0" borderId="7" xfId="0" applyFont="1" applyBorder="1"/>
    <xf numFmtId="0" fontId="48" fillId="10" borderId="2" xfId="0" applyFont="1" applyFill="1" applyBorder="1"/>
    <xf numFmtId="0" fontId="18" fillId="13" borderId="4" xfId="0" applyFont="1" applyFill="1" applyBorder="1"/>
    <xf numFmtId="0" fontId="18" fillId="13" borderId="7" xfId="0" applyFont="1" applyFill="1" applyBorder="1"/>
    <xf numFmtId="0" fontId="18" fillId="13" borderId="0" xfId="0" applyFont="1" applyFill="1"/>
    <xf numFmtId="167" fontId="41" fillId="13" borderId="2" xfId="0" applyNumberFormat="1" applyFont="1" applyFill="1" applyBorder="1"/>
    <xf numFmtId="167" fontId="38" fillId="13" borderId="0" xfId="0" applyNumberFormat="1" applyFont="1" applyFill="1" applyProtection="1">
      <protection locked="0"/>
    </xf>
    <xf numFmtId="0" fontId="0" fillId="13" borderId="2" xfId="0" applyFill="1" applyBorder="1"/>
    <xf numFmtId="167" fontId="20" fillId="13" borderId="2" xfId="0" applyNumberFormat="1" applyFont="1" applyFill="1" applyBorder="1" applyProtection="1">
      <protection locked="0"/>
    </xf>
    <xf numFmtId="0" fontId="18" fillId="2" borderId="4" xfId="0" applyFont="1" applyFill="1" applyBorder="1"/>
    <xf numFmtId="0" fontId="18" fillId="2" borderId="7" xfId="0" applyFont="1" applyFill="1" applyBorder="1"/>
    <xf numFmtId="0" fontId="18" fillId="2" borderId="0" xfId="0" applyFont="1" applyFill="1"/>
    <xf numFmtId="167" fontId="41" fillId="2" borderId="2" xfId="0" applyNumberFormat="1" applyFont="1" applyFill="1" applyBorder="1"/>
    <xf numFmtId="167" fontId="38" fillId="2" borderId="0" xfId="0" applyNumberFormat="1" applyFont="1" applyFill="1" applyProtection="1">
      <protection locked="0"/>
    </xf>
    <xf numFmtId="0" fontId="0" fillId="2" borderId="2" xfId="0" applyFill="1" applyBorder="1"/>
    <xf numFmtId="167" fontId="20" fillId="2" borderId="2" xfId="0" applyNumberFormat="1" applyFont="1" applyFill="1" applyBorder="1" applyProtection="1">
      <protection locked="0"/>
    </xf>
    <xf numFmtId="0" fontId="24" fillId="0" borderId="0" xfId="0" quotePrefix="1" applyFont="1"/>
    <xf numFmtId="0" fontId="18" fillId="2" borderId="0" xfId="0" applyFont="1" applyFill="1" applyBorder="1"/>
    <xf numFmtId="0" fontId="0" fillId="2" borderId="0" xfId="0" applyFill="1" applyBorder="1"/>
    <xf numFmtId="0" fontId="18" fillId="5" borderId="3" xfId="0" quotePrefix="1" applyFont="1" applyFill="1" applyBorder="1"/>
    <xf numFmtId="167" fontId="18" fillId="10" borderId="0" xfId="0" applyNumberFormat="1" applyFont="1" applyFill="1" applyBorder="1" applyProtection="1">
      <protection locked="0"/>
    </xf>
    <xf numFmtId="167" fontId="18" fillId="10" borderId="2" xfId="0" applyNumberFormat="1" applyFont="1" applyFill="1" applyBorder="1" applyProtection="1">
      <protection locked="0"/>
    </xf>
    <xf numFmtId="0" fontId="18" fillId="0" borderId="3" xfId="0" applyFont="1" applyFill="1" applyBorder="1"/>
    <xf numFmtId="0" fontId="18" fillId="0" borderId="0" xfId="0" applyFont="1" applyFill="1"/>
    <xf numFmtId="0" fontId="0" fillId="0" borderId="0" xfId="0" quotePrefix="1"/>
    <xf numFmtId="0" fontId="18" fillId="6" borderId="8" xfId="0" applyFont="1" applyFill="1" applyBorder="1"/>
    <xf numFmtId="0" fontId="18" fillId="6" borderId="0" xfId="0" applyFont="1" applyFill="1"/>
    <xf numFmtId="167" fontId="41" fillId="6" borderId="2" xfId="0" applyNumberFormat="1" applyFont="1" applyFill="1" applyBorder="1"/>
    <xf numFmtId="167" fontId="38" fillId="6" borderId="0" xfId="0" applyNumberFormat="1" applyFont="1" applyFill="1" applyProtection="1">
      <protection locked="0"/>
    </xf>
    <xf numFmtId="167" fontId="20" fillId="6" borderId="2" xfId="0" applyNumberFormat="1" applyFont="1" applyFill="1" applyBorder="1" applyProtection="1">
      <protection locked="0"/>
    </xf>
    <xf numFmtId="167" fontId="20" fillId="10" borderId="2" xfId="0" applyNumberFormat="1" applyFont="1" applyFill="1" applyBorder="1" applyProtection="1">
      <protection locked="0"/>
    </xf>
    <xf numFmtId="0" fontId="51" fillId="0" borderId="0" xfId="0" applyFont="1"/>
    <xf numFmtId="0" fontId="18" fillId="9" borderId="3" xfId="0" applyFont="1" applyFill="1" applyBorder="1"/>
    <xf numFmtId="0" fontId="18" fillId="9" borderId="0" xfId="0" applyFont="1" applyFill="1"/>
    <xf numFmtId="0" fontId="18" fillId="10" borderId="2" xfId="0" applyFont="1" applyFill="1" applyBorder="1" applyProtection="1">
      <protection locked="0"/>
    </xf>
    <xf numFmtId="0" fontId="18" fillId="15" borderId="0" xfId="0" applyFont="1" applyFill="1"/>
    <xf numFmtId="167" fontId="41" fillId="15" borderId="2" xfId="0" applyNumberFormat="1" applyFont="1" applyFill="1" applyBorder="1"/>
    <xf numFmtId="167" fontId="38" fillId="15" borderId="0" xfId="0" applyNumberFormat="1" applyFont="1" applyFill="1" applyProtection="1">
      <protection locked="0"/>
    </xf>
    <xf numFmtId="0" fontId="0" fillId="15" borderId="2" xfId="0" applyFill="1" applyBorder="1"/>
    <xf numFmtId="167" fontId="20" fillId="15" borderId="2" xfId="0" applyNumberFormat="1" applyFont="1" applyFill="1" applyBorder="1" applyProtection="1">
      <protection locked="0"/>
    </xf>
    <xf numFmtId="0" fontId="0" fillId="6" borderId="2" xfId="0" applyFill="1" applyBorder="1"/>
    <xf numFmtId="38" fontId="20" fillId="6" borderId="2" xfId="0" applyNumberFormat="1" applyFont="1" applyFill="1" applyBorder="1" applyProtection="1">
      <protection locked="0"/>
    </xf>
    <xf numFmtId="0" fontId="18" fillId="0" borderId="2" xfId="0" applyFont="1" applyBorder="1"/>
    <xf numFmtId="0" fontId="21" fillId="0" borderId="2" xfId="0" applyFont="1" applyBorder="1"/>
    <xf numFmtId="167" fontId="40" fillId="8" borderId="1" xfId="0" applyNumberFormat="1" applyFont="1" applyFill="1" applyBorder="1" applyProtection="1">
      <protection locked="0"/>
    </xf>
    <xf numFmtId="0" fontId="21" fillId="6" borderId="8" xfId="0" applyFont="1" applyFill="1" applyBorder="1"/>
    <xf numFmtId="167" fontId="19" fillId="4" borderId="2" xfId="0" applyNumberFormat="1" applyFont="1" applyFill="1" applyBorder="1" applyProtection="1">
      <protection locked="0"/>
    </xf>
    <xf numFmtId="6" fontId="18" fillId="6" borderId="2" xfId="0" applyNumberFormat="1" applyFont="1" applyFill="1" applyBorder="1" applyProtection="1">
      <protection locked="0"/>
    </xf>
    <xf numFmtId="0" fontId="20" fillId="6" borderId="4" xfId="0" applyFont="1" applyFill="1" applyBorder="1"/>
    <xf numFmtId="0" fontId="20" fillId="6" borderId="8" xfId="0" applyFont="1" applyFill="1" applyBorder="1"/>
    <xf numFmtId="0" fontId="18" fillId="4" borderId="4" xfId="0" applyFont="1" applyFill="1" applyBorder="1"/>
    <xf numFmtId="0" fontId="21" fillId="4" borderId="8" xfId="0" applyFont="1" applyFill="1" applyBorder="1"/>
    <xf numFmtId="0" fontId="35" fillId="8" borderId="2" xfId="0" applyFont="1" applyFill="1" applyBorder="1" applyAlignment="1">
      <alignment horizontal="center"/>
    </xf>
    <xf numFmtId="0" fontId="35" fillId="11" borderId="2" xfId="0" applyFont="1" applyFill="1" applyBorder="1" applyAlignment="1">
      <alignment horizontal="center"/>
    </xf>
    <xf numFmtId="167" fontId="38" fillId="5" borderId="3" xfId="0" applyNumberFormat="1" applyFont="1" applyFill="1" applyBorder="1" applyAlignment="1">
      <alignment horizontal="center"/>
    </xf>
    <xf numFmtId="38" fontId="18" fillId="8" borderId="0" xfId="0" applyNumberFormat="1" applyFont="1" applyFill="1"/>
    <xf numFmtId="0" fontId="38" fillId="0" borderId="0" xfId="0" applyFont="1"/>
    <xf numFmtId="40" fontId="19" fillId="0" borderId="0" xfId="0" applyNumberFormat="1" applyFont="1"/>
    <xf numFmtId="40" fontId="46" fillId="0" borderId="0" xfId="0" applyNumberFormat="1" applyFont="1" applyAlignment="1" applyProtection="1">
      <alignment horizontal="right"/>
      <protection locked="0"/>
    </xf>
    <xf numFmtId="0" fontId="18" fillId="0" borderId="8" xfId="0" applyFont="1" applyBorder="1"/>
    <xf numFmtId="0" fontId="0" fillId="11" borderId="11" xfId="0" applyFill="1" applyBorder="1"/>
    <xf numFmtId="0" fontId="53" fillId="11" borderId="9" xfId="0" applyFont="1" applyFill="1" applyBorder="1" applyAlignment="1">
      <alignment horizontal="center"/>
    </xf>
    <xf numFmtId="0" fontId="54" fillId="11" borderId="9" xfId="0" applyFont="1" applyFill="1" applyBorder="1" applyAlignment="1">
      <alignment horizontal="center"/>
    </xf>
    <xf numFmtId="0" fontId="55" fillId="11" borderId="9" xfId="0" applyFont="1" applyFill="1" applyBorder="1" applyAlignment="1">
      <alignment horizontal="center"/>
    </xf>
    <xf numFmtId="0" fontId="38" fillId="5" borderId="3" xfId="0" applyFont="1" applyFill="1" applyBorder="1" applyAlignment="1">
      <alignment horizontal="center"/>
    </xf>
    <xf numFmtId="0" fontId="52" fillId="0" borderId="0" xfId="0" applyFont="1"/>
    <xf numFmtId="0" fontId="46" fillId="0" borderId="0" xfId="0" applyFont="1" applyAlignment="1">
      <alignment horizontal="center"/>
    </xf>
    <xf numFmtId="0" fontId="18" fillId="4" borderId="8" xfId="0" applyFont="1" applyFill="1" applyBorder="1"/>
    <xf numFmtId="38" fontId="38" fillId="5" borderId="0" xfId="0" applyNumberFormat="1" applyFont="1" applyFill="1" applyProtection="1">
      <protection locked="0"/>
    </xf>
    <xf numFmtId="38" fontId="38" fillId="4" borderId="0" xfId="0" applyNumberFormat="1" applyFont="1" applyFill="1" applyProtection="1">
      <protection locked="0"/>
    </xf>
    <xf numFmtId="38" fontId="19" fillId="0" borderId="0" xfId="0" applyNumberFormat="1" applyFont="1"/>
    <xf numFmtId="38" fontId="46" fillId="0" borderId="0" xfId="0" applyNumberFormat="1" applyFont="1" applyAlignment="1" applyProtection="1">
      <alignment horizontal="right"/>
      <protection locked="0"/>
    </xf>
    <xf numFmtId="38" fontId="40" fillId="8" borderId="2" xfId="0" applyNumberFormat="1" applyFont="1" applyFill="1" applyBorder="1"/>
    <xf numFmtId="0" fontId="18" fillId="5" borderId="11" xfId="0" applyFont="1" applyFill="1" applyBorder="1"/>
    <xf numFmtId="0" fontId="18" fillId="5" borderId="4" xfId="0" applyFont="1" applyFill="1" applyBorder="1"/>
    <xf numFmtId="0" fontId="18" fillId="5" borderId="10" xfId="0" applyFont="1" applyFill="1" applyBorder="1"/>
    <xf numFmtId="38" fontId="40" fillId="8" borderId="9" xfId="0" applyNumberFormat="1" applyFont="1" applyFill="1" applyBorder="1"/>
    <xf numFmtId="38" fontId="40" fillId="8" borderId="5" xfId="0" applyNumberFormat="1" applyFont="1" applyFill="1" applyBorder="1"/>
    <xf numFmtId="0" fontId="0" fillId="12" borderId="9" xfId="0" applyFill="1" applyBorder="1"/>
    <xf numFmtId="38" fontId="0" fillId="12" borderId="2" xfId="0" applyNumberFormat="1" applyFill="1" applyBorder="1"/>
    <xf numFmtId="38" fontId="20" fillId="10" borderId="2" xfId="0" applyNumberFormat="1" applyFont="1" applyFill="1" applyBorder="1" applyProtection="1">
      <protection locked="0"/>
    </xf>
    <xf numFmtId="0" fontId="24" fillId="11" borderId="9" xfId="0" applyFont="1" applyFill="1" applyBorder="1"/>
    <xf numFmtId="0" fontId="37" fillId="4" borderId="9" xfId="0" applyFont="1" applyFill="1" applyBorder="1" applyAlignment="1">
      <alignment horizontal="center"/>
    </xf>
    <xf numFmtId="38" fontId="38" fillId="5" borderId="3" xfId="0" applyNumberFormat="1" applyFont="1" applyFill="1" applyBorder="1" applyAlignment="1" applyProtection="1">
      <alignment horizontal="right"/>
      <protection locked="0"/>
    </xf>
    <xf numFmtId="0" fontId="24" fillId="4" borderId="0" xfId="0" applyFont="1" applyFill="1" applyBorder="1" applyAlignment="1">
      <alignment horizontal="center"/>
    </xf>
    <xf numFmtId="0" fontId="20" fillId="0" borderId="0" xfId="0" quotePrefix="1" applyFont="1"/>
    <xf numFmtId="0" fontId="18" fillId="16" borderId="7" xfId="0" applyFont="1" applyFill="1" applyBorder="1"/>
    <xf numFmtId="0" fontId="20" fillId="16" borderId="7" xfId="0" applyFont="1" applyFill="1" applyBorder="1"/>
    <xf numFmtId="0" fontId="18" fillId="16" borderId="0" xfId="0" applyFont="1" applyFill="1"/>
    <xf numFmtId="168" fontId="18" fillId="0" borderId="0" xfId="0" applyNumberFormat="1" applyFont="1"/>
    <xf numFmtId="168" fontId="25" fillId="15" borderId="2" xfId="0" applyNumberFormat="1" applyFont="1" applyFill="1" applyBorder="1"/>
    <xf numFmtId="168" fontId="38" fillId="15" borderId="0" xfId="0" applyNumberFormat="1" applyFont="1" applyFill="1" applyProtection="1">
      <protection locked="0"/>
    </xf>
    <xf numFmtId="168" fontId="20" fillId="4" borderId="2" xfId="0" applyNumberFormat="1" applyFont="1" applyFill="1" applyBorder="1"/>
    <xf numFmtId="168" fontId="20" fillId="4" borderId="0" xfId="0" applyNumberFormat="1" applyFont="1" applyFill="1" applyBorder="1" applyAlignment="1">
      <alignment horizontal="center"/>
    </xf>
    <xf numFmtId="0" fontId="25" fillId="16" borderId="7" xfId="0" applyFont="1" applyFill="1" applyBorder="1"/>
    <xf numFmtId="38" fontId="25" fillId="4" borderId="2" xfId="0" applyNumberFormat="1" applyFont="1" applyFill="1" applyBorder="1"/>
    <xf numFmtId="168" fontId="38" fillId="4" borderId="0" xfId="0" applyNumberFormat="1" applyFont="1" applyFill="1" applyProtection="1">
      <protection locked="0"/>
    </xf>
    <xf numFmtId="38" fontId="20" fillId="4" borderId="2" xfId="0" applyNumberFormat="1" applyFont="1" applyFill="1" applyBorder="1"/>
    <xf numFmtId="168" fontId="38" fillId="5" borderId="0" xfId="0" applyNumberFormat="1" applyFont="1" applyFill="1" applyProtection="1">
      <protection locked="0"/>
    </xf>
    <xf numFmtId="0" fontId="20" fillId="6" borderId="7" xfId="0" applyFont="1" applyFill="1" applyBorder="1"/>
    <xf numFmtId="169" fontId="25" fillId="10" borderId="2" xfId="0" applyNumberFormat="1" applyFont="1" applyFill="1" applyBorder="1"/>
    <xf numFmtId="168" fontId="20" fillId="10" borderId="2" xfId="0" applyNumberFormat="1" applyFont="1" applyFill="1" applyBorder="1"/>
    <xf numFmtId="0" fontId="18" fillId="6" borderId="7" xfId="0" applyFont="1" applyFill="1" applyBorder="1"/>
    <xf numFmtId="38" fontId="25" fillId="10" borderId="2" xfId="0" applyNumberFormat="1" applyFont="1" applyFill="1" applyBorder="1"/>
    <xf numFmtId="38" fontId="20" fillId="10" borderId="2" xfId="0" applyNumberFormat="1" applyFont="1" applyFill="1" applyBorder="1"/>
    <xf numFmtId="0" fontId="18" fillId="14" borderId="7" xfId="0" applyFont="1" applyFill="1" applyBorder="1"/>
    <xf numFmtId="168" fontId="0" fillId="3" borderId="2" xfId="0" applyNumberFormat="1" applyFill="1" applyBorder="1"/>
    <xf numFmtId="0" fontId="18" fillId="0" borderId="10" xfId="0" applyFont="1" applyBorder="1"/>
    <xf numFmtId="0" fontId="18" fillId="0" borderId="11" xfId="0" applyFont="1" applyBorder="1"/>
    <xf numFmtId="38" fontId="40" fillId="8" borderId="5" xfId="0" applyNumberFormat="1" applyFont="1" applyFill="1" applyBorder="1" applyProtection="1">
      <protection locked="0"/>
    </xf>
    <xf numFmtId="38" fontId="42" fillId="7" borderId="5" xfId="0" applyNumberFormat="1" applyFont="1" applyFill="1" applyBorder="1" applyProtection="1">
      <protection locked="0"/>
    </xf>
    <xf numFmtId="38" fontId="43" fillId="7" borderId="5" xfId="0" applyNumberFormat="1" applyFont="1" applyFill="1" applyBorder="1" applyProtection="1">
      <protection locked="0"/>
    </xf>
    <xf numFmtId="38" fontId="44" fillId="7" borderId="5" xfId="0" applyNumberFormat="1" applyFont="1" applyFill="1" applyBorder="1" applyProtection="1">
      <protection locked="0"/>
    </xf>
    <xf numFmtId="38" fontId="45" fillId="7" borderId="5" xfId="0" applyNumberFormat="1" applyFont="1" applyFill="1" applyBorder="1" applyProtection="1">
      <protection locked="0"/>
    </xf>
    <xf numFmtId="38" fontId="0" fillId="11" borderId="2" xfId="0" applyNumberFormat="1" applyFill="1" applyBorder="1"/>
    <xf numFmtId="38" fontId="57" fillId="0" borderId="0" xfId="0" applyNumberFormat="1" applyFont="1"/>
    <xf numFmtId="38" fontId="58" fillId="0" borderId="0" xfId="0" applyNumberFormat="1" applyFont="1" applyAlignment="1" applyProtection="1">
      <alignment horizontal="right"/>
      <protection locked="0"/>
    </xf>
    <xf numFmtId="0" fontId="20" fillId="4" borderId="0" xfId="0" applyFont="1" applyFill="1" applyBorder="1"/>
    <xf numFmtId="0" fontId="0" fillId="4" borderId="0" xfId="0" applyFill="1" applyBorder="1"/>
    <xf numFmtId="38" fontId="20" fillId="10" borderId="2" xfId="0" applyNumberFormat="1" applyFont="1" applyFill="1" applyBorder="1" applyAlignment="1">
      <alignment horizontal="center"/>
    </xf>
    <xf numFmtId="0" fontId="59" fillId="0" borderId="0" xfId="0" applyFont="1"/>
    <xf numFmtId="0" fontId="58" fillId="0" borderId="0" xfId="0" applyFont="1" applyAlignment="1">
      <alignment horizontal="center"/>
    </xf>
    <xf numFmtId="0" fontId="60" fillId="0" borderId="0" xfId="0" applyFont="1"/>
    <xf numFmtId="0" fontId="57" fillId="5" borderId="0" xfId="0" applyFont="1" applyFill="1" applyAlignment="1">
      <alignment horizontal="center"/>
    </xf>
    <xf numFmtId="0" fontId="24" fillId="5" borderId="0" xfId="0" applyFont="1" applyFill="1"/>
    <xf numFmtId="37" fontId="58" fillId="0" borderId="0" xfId="0" applyNumberFormat="1" applyFont="1" applyAlignment="1" applyProtection="1">
      <alignment horizontal="center"/>
      <protection locked="0"/>
    </xf>
    <xf numFmtId="38" fontId="38" fillId="13" borderId="0" xfId="0" applyNumberFormat="1" applyFont="1" applyFill="1" applyProtection="1">
      <protection locked="0"/>
    </xf>
    <xf numFmtId="38" fontId="20" fillId="13" borderId="2" xfId="0" applyNumberFormat="1" applyFont="1" applyFill="1" applyBorder="1"/>
    <xf numFmtId="0" fontId="24" fillId="4" borderId="0" xfId="0" applyFont="1" applyFill="1"/>
    <xf numFmtId="0" fontId="18" fillId="5" borderId="2" xfId="0" applyFont="1" applyFill="1" applyBorder="1"/>
    <xf numFmtId="0" fontId="18" fillId="5" borderId="8" xfId="0" applyFont="1" applyFill="1" applyBorder="1"/>
    <xf numFmtId="0" fontId="63" fillId="5" borderId="4" xfId="0" applyFont="1" applyFill="1" applyBorder="1"/>
    <xf numFmtId="167" fontId="40" fillId="8" borderId="2" xfId="0" applyNumberFormat="1" applyFont="1" applyFill="1" applyBorder="1"/>
    <xf numFmtId="167" fontId="18" fillId="8" borderId="2" xfId="0" applyNumberFormat="1" applyFont="1" applyFill="1" applyBorder="1"/>
    <xf numFmtId="167" fontId="38" fillId="5" borderId="0" xfId="0" applyNumberFormat="1" applyFont="1" applyFill="1"/>
    <xf numFmtId="167" fontId="38" fillId="4" borderId="0" xfId="0" applyNumberFormat="1" applyFont="1" applyFill="1"/>
    <xf numFmtId="168" fontId="57" fillId="0" borderId="0" xfId="0" applyNumberFormat="1" applyFont="1"/>
    <xf numFmtId="168" fontId="58" fillId="0" borderId="0" xfId="0" applyNumberFormat="1" applyFont="1" applyAlignment="1" applyProtection="1">
      <alignment horizontal="right"/>
      <protection locked="0"/>
    </xf>
    <xf numFmtId="167" fontId="18" fillId="7" borderId="2" xfId="0" applyNumberFormat="1" applyFont="1" applyFill="1" applyBorder="1"/>
    <xf numFmtId="167" fontId="62" fillId="7" borderId="2" xfId="0" applyNumberFormat="1" applyFont="1" applyFill="1" applyBorder="1"/>
    <xf numFmtId="167" fontId="44" fillId="7" borderId="2" xfId="0" applyNumberFormat="1" applyFont="1" applyFill="1" applyBorder="1"/>
    <xf numFmtId="167" fontId="45" fillId="7" borderId="2" xfId="0" applyNumberFormat="1" applyFont="1" applyFill="1" applyBorder="1"/>
    <xf numFmtId="0" fontId="18" fillId="5" borderId="7" xfId="0" applyFont="1" applyFill="1" applyBorder="1"/>
    <xf numFmtId="0" fontId="0" fillId="0" borderId="0" xfId="0" applyFill="1"/>
    <xf numFmtId="0" fontId="63" fillId="5" borderId="7" xfId="0" applyFont="1" applyFill="1" applyBorder="1"/>
    <xf numFmtId="38" fontId="62" fillId="7" borderId="5" xfId="0" applyNumberFormat="1" applyFont="1" applyFill="1" applyBorder="1" applyProtection="1">
      <protection locked="0"/>
    </xf>
    <xf numFmtId="0" fontId="35" fillId="11" borderId="0" xfId="0" applyFont="1" applyFill="1"/>
    <xf numFmtId="0" fontId="57" fillId="5" borderId="0" xfId="0" quotePrefix="1" applyFont="1" applyFill="1"/>
    <xf numFmtId="38" fontId="38" fillId="5" borderId="0" xfId="0" applyNumberFormat="1" applyFont="1" applyFill="1" applyAlignment="1" applyProtection="1">
      <alignment horizontal="center"/>
      <protection locked="0"/>
    </xf>
    <xf numFmtId="38" fontId="38" fillId="4" borderId="0" xfId="0" applyNumberFormat="1" applyFont="1" applyFill="1" applyAlignment="1" applyProtection="1">
      <alignment horizontal="center"/>
      <protection locked="0"/>
    </xf>
    <xf numFmtId="0" fontId="0" fillId="5" borderId="0" xfId="0" quotePrefix="1" applyFill="1"/>
    <xf numFmtId="38" fontId="40" fillId="8" borderId="9" xfId="0" applyNumberFormat="1" applyFont="1" applyFill="1" applyBorder="1" applyProtection="1">
      <protection locked="0"/>
    </xf>
    <xf numFmtId="0" fontId="48" fillId="10" borderId="9" xfId="0" applyFont="1" applyFill="1" applyBorder="1"/>
    <xf numFmtId="0" fontId="24" fillId="5" borderId="0" xfId="0" quotePrefix="1" applyFont="1" applyFill="1"/>
    <xf numFmtId="38" fontId="25" fillId="10" borderId="2" xfId="0" applyNumberFormat="1" applyFont="1" applyFill="1" applyBorder="1" applyAlignment="1">
      <alignment horizontal="center"/>
    </xf>
    <xf numFmtId="0" fontId="0" fillId="8" borderId="4" xfId="0" applyFill="1" applyBorder="1"/>
    <xf numFmtId="0" fontId="59" fillId="5" borderId="0" xfId="0" applyFont="1" applyFill="1"/>
    <xf numFmtId="0" fontId="65" fillId="0" borderId="0" xfId="0" applyFont="1"/>
    <xf numFmtId="0" fontId="66" fillId="0" borderId="0" xfId="0" applyFont="1"/>
    <xf numFmtId="167" fontId="67" fillId="8" borderId="2" xfId="0" applyNumberFormat="1" applyFont="1" applyFill="1" applyBorder="1"/>
    <xf numFmtId="0" fontId="0" fillId="11" borderId="1" xfId="0" applyFill="1" applyBorder="1"/>
    <xf numFmtId="0" fontId="59" fillId="4" borderId="0" xfId="0" applyFont="1" applyFill="1"/>
    <xf numFmtId="38" fontId="57" fillId="0" borderId="0" xfId="0" quotePrefix="1" applyNumberFormat="1" applyFont="1"/>
    <xf numFmtId="0" fontId="19" fillId="5" borderId="8" xfId="0" applyFont="1" applyFill="1" applyBorder="1"/>
    <xf numFmtId="0" fontId="0" fillId="8" borderId="9" xfId="0" applyFill="1" applyBorder="1"/>
    <xf numFmtId="168" fontId="64" fillId="7" borderId="1" xfId="0" applyNumberFormat="1" applyFont="1" applyFill="1" applyBorder="1" applyProtection="1">
      <protection locked="0"/>
    </xf>
    <xf numFmtId="0" fontId="20" fillId="0" borderId="7" xfId="0" applyFont="1" applyBorder="1"/>
    <xf numFmtId="168" fontId="38" fillId="5" borderId="0" xfId="0" applyNumberFormat="1" applyFont="1" applyFill="1"/>
    <xf numFmtId="168" fontId="38" fillId="4" borderId="0" xfId="0" applyNumberFormat="1" applyFont="1" applyFill="1"/>
    <xf numFmtId="170" fontId="20" fillId="0" borderId="2" xfId="0" applyNumberFormat="1" applyFont="1" applyBorder="1"/>
    <xf numFmtId="170" fontId="38" fillId="5" borderId="0" xfId="0" applyNumberFormat="1" applyFont="1" applyFill="1"/>
    <xf numFmtId="0" fontId="20" fillId="5" borderId="0" xfId="0" applyFont="1" applyFill="1"/>
    <xf numFmtId="168" fontId="46" fillId="0" borderId="0" xfId="0" applyNumberFormat="1" applyFont="1" applyAlignment="1">
      <alignment horizontal="right"/>
    </xf>
    <xf numFmtId="38" fontId="40" fillId="8" borderId="2" xfId="0" applyNumberFormat="1" applyFont="1" applyFill="1" applyBorder="1" applyAlignment="1">
      <alignment horizontal="right"/>
    </xf>
    <xf numFmtId="38" fontId="68" fillId="4" borderId="2" xfId="0" applyNumberFormat="1" applyFont="1" applyFill="1" applyBorder="1" applyAlignment="1">
      <alignment horizontal="right"/>
    </xf>
    <xf numFmtId="37" fontId="19" fillId="0" borderId="2" xfId="0" applyNumberFormat="1" applyFont="1" applyBorder="1" applyAlignment="1" applyProtection="1">
      <alignment horizontal="center"/>
      <protection locked="0"/>
    </xf>
    <xf numFmtId="37" fontId="38" fillId="5" borderId="0" xfId="0" applyNumberFormat="1" applyFont="1" applyFill="1" applyAlignment="1" applyProtection="1">
      <alignment horizontal="center"/>
      <protection locked="0"/>
    </xf>
    <xf numFmtId="37" fontId="38" fillId="4" borderId="0" xfId="0" applyNumberFormat="1" applyFont="1" applyFill="1" applyAlignment="1" applyProtection="1">
      <alignment horizontal="center"/>
      <protection locked="0"/>
    </xf>
    <xf numFmtId="37" fontId="20" fillId="0" borderId="2" xfId="0" applyNumberFormat="1" applyFont="1" applyBorder="1"/>
    <xf numFmtId="37" fontId="42" fillId="0" borderId="2" xfId="0" applyNumberFormat="1" applyFont="1" applyBorder="1" applyAlignment="1" applyProtection="1">
      <alignment horizontal="center"/>
      <protection locked="0"/>
    </xf>
    <xf numFmtId="37" fontId="43" fillId="0" borderId="2" xfId="0" applyNumberFormat="1" applyFont="1" applyBorder="1" applyAlignment="1" applyProtection="1">
      <alignment horizontal="center"/>
      <protection locked="0"/>
    </xf>
    <xf numFmtId="37" fontId="44" fillId="0" borderId="2" xfId="0" applyNumberFormat="1" applyFont="1" applyBorder="1" applyAlignment="1" applyProtection="1">
      <alignment horizontal="center"/>
      <protection locked="0"/>
    </xf>
    <xf numFmtId="37" fontId="45" fillId="0" borderId="2" xfId="0" applyNumberFormat="1" applyFont="1" applyBorder="1" applyAlignment="1" applyProtection="1">
      <alignment horizontal="center"/>
      <protection locked="0"/>
    </xf>
    <xf numFmtId="37" fontId="62" fillId="4" borderId="2" xfId="0" applyNumberFormat="1" applyFont="1" applyFill="1" applyBorder="1"/>
    <xf numFmtId="167" fontId="40" fillId="8" borderId="2" xfId="0" applyNumberFormat="1" applyFont="1" applyFill="1" applyBorder="1" applyAlignment="1">
      <alignment horizontal="right"/>
    </xf>
    <xf numFmtId="167" fontId="68" fillId="4" borderId="2" xfId="0" applyNumberFormat="1" applyFont="1" applyFill="1" applyBorder="1" applyAlignment="1">
      <alignment horizontal="right"/>
    </xf>
    <xf numFmtId="167" fontId="19" fillId="0" borderId="2" xfId="0" applyNumberFormat="1" applyFont="1" applyBorder="1" applyAlignment="1">
      <alignment horizontal="right"/>
    </xf>
    <xf numFmtId="167" fontId="38" fillId="5" borderId="0" xfId="0" applyNumberFormat="1" applyFont="1" applyFill="1" applyAlignment="1">
      <alignment horizontal="right"/>
    </xf>
    <xf numFmtId="167" fontId="38" fillId="4" borderId="0" xfId="0" applyNumberFormat="1" applyFont="1" applyFill="1" applyAlignment="1">
      <alignment horizontal="right"/>
    </xf>
    <xf numFmtId="167" fontId="20" fillId="4" borderId="2" xfId="0" applyNumberFormat="1" applyFont="1" applyFill="1" applyBorder="1"/>
    <xf numFmtId="171" fontId="42" fillId="0" borderId="2" xfId="0" applyNumberFormat="1" applyFont="1" applyBorder="1" applyAlignment="1" applyProtection="1">
      <alignment horizontal="right"/>
      <protection locked="0"/>
    </xf>
    <xf numFmtId="167" fontId="43" fillId="0" borderId="2" xfId="0" applyNumberFormat="1" applyFont="1" applyBorder="1" applyAlignment="1">
      <alignment horizontal="right"/>
    </xf>
    <xf numFmtId="167" fontId="44" fillId="0" borderId="2" xfId="0" applyNumberFormat="1" applyFont="1" applyBorder="1" applyAlignment="1">
      <alignment horizontal="right"/>
    </xf>
    <xf numFmtId="167" fontId="45" fillId="0" borderId="2" xfId="0" applyNumberFormat="1" applyFont="1" applyBorder="1" applyAlignment="1">
      <alignment horizontal="right"/>
    </xf>
    <xf numFmtId="0" fontId="0" fillId="8" borderId="0" xfId="0" applyFill="1" applyBorder="1"/>
    <xf numFmtId="38" fontId="43" fillId="0" borderId="2" xfId="0" applyNumberFormat="1" applyFont="1" applyBorder="1" applyAlignment="1">
      <alignment horizontal="center"/>
    </xf>
    <xf numFmtId="38" fontId="44" fillId="0" borderId="2" xfId="0" applyNumberFormat="1" applyFont="1" applyBorder="1" applyAlignment="1">
      <alignment horizontal="center"/>
    </xf>
    <xf numFmtId="38" fontId="45" fillId="0" borderId="2" xfId="0" applyNumberFormat="1" applyFont="1" applyBorder="1" applyAlignment="1">
      <alignment horizontal="center"/>
    </xf>
    <xf numFmtId="168" fontId="40" fillId="8" borderId="2" xfId="0" applyNumberFormat="1" applyFont="1" applyFill="1" applyBorder="1"/>
    <xf numFmtId="168" fontId="68" fillId="4" borderId="2" xfId="0" applyNumberFormat="1" applyFont="1" applyFill="1" applyBorder="1"/>
    <xf numFmtId="0" fontId="20" fillId="4" borderId="0" xfId="0" applyFont="1" applyFill="1"/>
    <xf numFmtId="38" fontId="68" fillId="4" borderId="2" xfId="0" applyNumberFormat="1" applyFont="1" applyFill="1" applyBorder="1"/>
    <xf numFmtId="167" fontId="19" fillId="8" borderId="2" xfId="0" applyNumberFormat="1" applyFont="1" applyFill="1" applyBorder="1"/>
    <xf numFmtId="167" fontId="68" fillId="4" borderId="2" xfId="0" applyNumberFormat="1" applyFont="1" applyFill="1" applyBorder="1"/>
    <xf numFmtId="0" fontId="18" fillId="4" borderId="4" xfId="0" applyFont="1" applyFill="1" applyBorder="1" applyAlignment="1">
      <alignment horizontal="left"/>
    </xf>
    <xf numFmtId="167" fontId="40" fillId="4" borderId="2" xfId="0" applyNumberFormat="1" applyFont="1" applyFill="1" applyBorder="1"/>
    <xf numFmtId="38" fontId="40" fillId="4" borderId="2" xfId="0" applyNumberFormat="1" applyFont="1" applyFill="1" applyBorder="1"/>
    <xf numFmtId="0" fontId="69" fillId="0" borderId="0" xfId="0" applyFont="1"/>
    <xf numFmtId="168" fontId="40" fillId="4" borderId="2" xfId="0" applyNumberFormat="1" applyFont="1" applyFill="1" applyBorder="1"/>
    <xf numFmtId="172" fontId="68" fillId="4" borderId="2" xfId="0" applyNumberFormat="1" applyFont="1" applyFill="1" applyBorder="1"/>
    <xf numFmtId="0" fontId="69" fillId="5" borderId="0" xfId="0" applyFont="1" applyFill="1"/>
    <xf numFmtId="0" fontId="20" fillId="11" borderId="7" xfId="0" applyFont="1" applyFill="1" applyBorder="1"/>
    <xf numFmtId="0" fontId="70" fillId="11" borderId="2" xfId="0" applyFont="1" applyFill="1" applyBorder="1"/>
    <xf numFmtId="0" fontId="26" fillId="5" borderId="0" xfId="0" applyFont="1" applyFill="1"/>
    <xf numFmtId="0" fontId="0" fillId="17" borderId="0" xfId="0" applyFill="1"/>
    <xf numFmtId="0" fontId="29" fillId="17" borderId="0" xfId="0" applyFont="1" applyFill="1"/>
    <xf numFmtId="0" fontId="71" fillId="8" borderId="0" xfId="0" quotePrefix="1" applyFont="1" applyFill="1"/>
    <xf numFmtId="0" fontId="29" fillId="5" borderId="0" xfId="0" applyFont="1" applyFill="1"/>
    <xf numFmtId="0" fontId="59" fillId="5" borderId="2" xfId="0" applyFont="1" applyFill="1" applyBorder="1" applyAlignment="1">
      <alignment horizontal="center"/>
    </xf>
    <xf numFmtId="168" fontId="26" fillId="4" borderId="0" xfId="0" applyNumberFormat="1" applyFont="1" applyFill="1" applyBorder="1"/>
    <xf numFmtId="168" fontId="26" fillId="0" borderId="0" xfId="0" applyNumberFormat="1" applyFont="1"/>
    <xf numFmtId="168" fontId="20" fillId="0" borderId="0" xfId="0" applyNumberFormat="1" applyFont="1"/>
    <xf numFmtId="168" fontId="26" fillId="5" borderId="0" xfId="0" applyNumberFormat="1" applyFont="1" applyFill="1"/>
    <xf numFmtId="0" fontId="29" fillId="5" borderId="0" xfId="0" applyFont="1" applyFill="1" applyAlignment="1">
      <alignment horizontal="right"/>
    </xf>
    <xf numFmtId="168" fontId="59" fillId="5" borderId="0" xfId="0" applyNumberFormat="1" applyFont="1" applyFill="1" applyAlignment="1">
      <alignment horizontal="center"/>
    </xf>
    <xf numFmtId="172" fontId="59" fillId="5" borderId="0" xfId="0" applyNumberFormat="1" applyFont="1" applyFill="1" applyAlignment="1">
      <alignment horizontal="center"/>
    </xf>
    <xf numFmtId="172" fontId="59" fillId="5" borderId="0" xfId="0" applyNumberFormat="1" applyFont="1" applyFill="1"/>
    <xf numFmtId="168" fontId="59" fillId="5" borderId="0" xfId="0" applyNumberFormat="1" applyFont="1" applyFill="1"/>
    <xf numFmtId="0" fontId="29" fillId="0" borderId="0" xfId="0" applyFont="1" applyAlignment="1">
      <alignment horizontal="right"/>
    </xf>
    <xf numFmtId="0" fontId="72" fillId="0" borderId="0" xfId="0" applyFont="1" applyAlignment="1">
      <alignment horizontal="right"/>
    </xf>
    <xf numFmtId="168" fontId="0" fillId="0" borderId="0" xfId="0" applyNumberFormat="1"/>
    <xf numFmtId="168" fontId="72" fillId="0" borderId="0" xfId="0" applyNumberFormat="1" applyFont="1" applyAlignment="1">
      <alignment horizontal="center"/>
    </xf>
    <xf numFmtId="38" fontId="73" fillId="8" borderId="0" xfId="0" applyNumberFormat="1" applyFont="1" applyFill="1"/>
    <xf numFmtId="38" fontId="74" fillId="0" borderId="0" xfId="0" applyNumberFormat="1" applyFont="1"/>
    <xf numFmtId="38" fontId="74" fillId="5" borderId="0" xfId="0" applyNumberFormat="1" applyFont="1" applyFill="1"/>
    <xf numFmtId="38" fontId="74" fillId="4" borderId="0" xfId="0" applyNumberFormat="1" applyFont="1" applyFill="1"/>
    <xf numFmtId="0" fontId="73" fillId="8" borderId="0" xfId="0" applyFont="1" applyFill="1"/>
    <xf numFmtId="0" fontId="74" fillId="0" borderId="0" xfId="0" applyFont="1"/>
    <xf numFmtId="0" fontId="74" fillId="5" borderId="0" xfId="0" applyFont="1" applyFill="1"/>
    <xf numFmtId="0" fontId="74" fillId="4" borderId="0" xfId="0" applyFont="1" applyFill="1"/>
    <xf numFmtId="173" fontId="73" fillId="8" borderId="0" xfId="0" applyNumberFormat="1" applyFont="1" applyFill="1" applyAlignment="1">
      <alignment horizontal="right"/>
    </xf>
    <xf numFmtId="173" fontId="74" fillId="0" borderId="0" xfId="0" applyNumberFormat="1" applyFont="1" applyAlignment="1">
      <alignment horizontal="right"/>
    </xf>
    <xf numFmtId="173" fontId="74" fillId="5" borderId="0" xfId="0" applyNumberFormat="1" applyFont="1" applyFill="1" applyAlignment="1">
      <alignment horizontal="right"/>
    </xf>
    <xf numFmtId="173" fontId="74" fillId="4" borderId="0" xfId="0" applyNumberFormat="1" applyFont="1" applyFill="1" applyAlignment="1">
      <alignment horizontal="right"/>
    </xf>
    <xf numFmtId="168" fontId="73" fillId="8" borderId="0" xfId="0" applyNumberFormat="1" applyFont="1" applyFill="1"/>
    <xf numFmtId="168" fontId="74" fillId="0" borderId="0" xfId="0" applyNumberFormat="1" applyFont="1"/>
    <xf numFmtId="168" fontId="74" fillId="5" borderId="0" xfId="0" applyNumberFormat="1" applyFont="1" applyFill="1"/>
    <xf numFmtId="168" fontId="74" fillId="4" borderId="0" xfId="0" applyNumberFormat="1" applyFont="1" applyFill="1"/>
    <xf numFmtId="0" fontId="73" fillId="8" borderId="0" xfId="0" applyFont="1" applyFill="1" applyAlignment="1">
      <alignment horizontal="right"/>
    </xf>
    <xf numFmtId="0" fontId="74" fillId="0" borderId="0" xfId="0" applyFont="1" applyAlignment="1">
      <alignment horizontal="right"/>
    </xf>
    <xf numFmtId="0" fontId="74" fillId="5" borderId="0" xfId="0" applyFont="1" applyFill="1" applyAlignment="1">
      <alignment horizontal="right"/>
    </xf>
    <xf numFmtId="0" fontId="74" fillId="4" borderId="0" xfId="0" applyFont="1" applyFill="1" applyAlignment="1">
      <alignment horizontal="right"/>
    </xf>
    <xf numFmtId="38" fontId="73" fillId="8" borderId="0" xfId="0" applyNumberFormat="1" applyFont="1" applyFill="1" applyProtection="1">
      <protection locked="0"/>
    </xf>
    <xf numFmtId="38" fontId="74" fillId="0" borderId="0" xfId="0" applyNumberFormat="1" applyFont="1" applyProtection="1">
      <protection locked="0"/>
    </xf>
    <xf numFmtId="38" fontId="74" fillId="5" borderId="0" xfId="0" applyNumberFormat="1" applyFont="1" applyFill="1" applyProtection="1">
      <protection locked="0"/>
    </xf>
    <xf numFmtId="38" fontId="74" fillId="4" borderId="0" xfId="0" applyNumberFormat="1" applyFont="1" applyFill="1" applyProtection="1">
      <protection locked="0"/>
    </xf>
    <xf numFmtId="173" fontId="0" fillId="0" borderId="0" xfId="0" applyNumberFormat="1"/>
    <xf numFmtId="0" fontId="0" fillId="0" borderId="0" xfId="0" applyProtection="1">
      <protection locked="0"/>
    </xf>
    <xf numFmtId="173" fontId="0" fillId="0" borderId="0" xfId="0" applyNumberFormat="1" applyProtection="1">
      <protection locked="0"/>
    </xf>
    <xf numFmtId="0" fontId="71" fillId="8" borderId="0" xfId="0" applyFont="1" applyFill="1"/>
    <xf numFmtId="37" fontId="27" fillId="0" borderId="0" xfId="0" applyNumberFormat="1" applyFont="1"/>
    <xf numFmtId="37" fontId="0" fillId="0" borderId="0" xfId="0" applyNumberFormat="1"/>
    <xf numFmtId="37" fontId="0" fillId="5" borderId="0" xfId="0" applyNumberFormat="1" applyFill="1"/>
    <xf numFmtId="37" fontId="0" fillId="4" borderId="0" xfId="0" applyNumberFormat="1" applyFill="1"/>
    <xf numFmtId="37" fontId="29" fillId="0" borderId="0" xfId="0" applyNumberFormat="1" applyFont="1"/>
    <xf numFmtId="38" fontId="0" fillId="0" borderId="0" xfId="0" applyNumberFormat="1"/>
    <xf numFmtId="174" fontId="23" fillId="8" borderId="0" xfId="0" applyNumberFormat="1" applyFont="1" applyFill="1"/>
    <xf numFmtId="174" fontId="27" fillId="0" borderId="0" xfId="0" applyNumberFormat="1" applyFont="1"/>
    <xf numFmtId="174" fontId="27" fillId="5" borderId="0" xfId="0" applyNumberFormat="1" applyFont="1" applyFill="1"/>
    <xf numFmtId="174" fontId="27" fillId="4" borderId="0" xfId="0" applyNumberFormat="1" applyFont="1" applyFill="1"/>
    <xf numFmtId="174" fontId="29" fillId="0" borderId="0" xfId="0" applyNumberFormat="1" applyFont="1"/>
    <xf numFmtId="173" fontId="71" fillId="8" borderId="0" xfId="0" applyNumberFormat="1" applyFont="1" applyFill="1"/>
    <xf numFmtId="173" fontId="0" fillId="5" borderId="0" xfId="0" applyNumberFormat="1" applyFill="1"/>
    <xf numFmtId="173" fontId="0" fillId="4" borderId="0" xfId="0" applyNumberFormat="1" applyFill="1"/>
    <xf numFmtId="173" fontId="24" fillId="0" borderId="0" xfId="0" quotePrefix="1" applyNumberFormat="1" applyFont="1" applyAlignment="1">
      <alignment horizontal="center"/>
    </xf>
    <xf numFmtId="0" fontId="24" fillId="0" borderId="0" xfId="0" quotePrefix="1" applyFont="1" applyAlignment="1">
      <alignment horizontal="center"/>
    </xf>
    <xf numFmtId="38" fontId="0" fillId="0" borderId="0" xfId="0" applyNumberFormat="1" applyProtection="1">
      <protection locked="0"/>
    </xf>
    <xf numFmtId="173" fontId="29" fillId="0" borderId="0" xfId="0" applyNumberFormat="1" applyFont="1"/>
    <xf numFmtId="173" fontId="23" fillId="8" borderId="0" xfId="0" applyNumberFormat="1" applyFont="1" applyFill="1"/>
    <xf numFmtId="171" fontId="23" fillId="8" borderId="0" xfId="0" applyNumberFormat="1" applyFont="1" applyFill="1" applyProtection="1">
      <protection locked="0"/>
    </xf>
    <xf numFmtId="171" fontId="0" fillId="0" borderId="0" xfId="0" applyNumberFormat="1" applyProtection="1">
      <protection locked="0"/>
    </xf>
    <xf numFmtId="171" fontId="0" fillId="5" borderId="0" xfId="0" applyNumberFormat="1" applyFill="1" applyProtection="1">
      <protection locked="0"/>
    </xf>
    <xf numFmtId="171" fontId="0" fillId="4" borderId="0" xfId="0" applyNumberFormat="1" applyFill="1" applyProtection="1">
      <protection locked="0"/>
    </xf>
    <xf numFmtId="171" fontId="29" fillId="0" borderId="0" xfId="0" applyNumberFormat="1" applyFont="1" applyProtection="1">
      <protection locked="0"/>
    </xf>
    <xf numFmtId="171" fontId="23" fillId="8" borderId="0" xfId="0" applyNumberFormat="1" applyFont="1" applyFill="1"/>
    <xf numFmtId="171" fontId="0" fillId="0" borderId="0" xfId="0" applyNumberFormat="1"/>
    <xf numFmtId="171" fontId="0" fillId="5" borderId="0" xfId="0" applyNumberFormat="1" applyFill="1"/>
    <xf numFmtId="171" fontId="0" fillId="4" borderId="0" xfId="0" applyNumberFormat="1" applyFill="1"/>
    <xf numFmtId="171" fontId="29" fillId="0" borderId="0" xfId="0" applyNumberFormat="1" applyFont="1"/>
    <xf numFmtId="175" fontId="0" fillId="0" borderId="0" xfId="0" applyNumberFormat="1"/>
    <xf numFmtId="37" fontId="23" fillId="8" borderId="0" xfId="0" applyNumberFormat="1" applyFont="1" applyFill="1"/>
    <xf numFmtId="37" fontId="0" fillId="0" borderId="0" xfId="0" applyNumberFormat="1" applyProtection="1">
      <protection locked="0"/>
    </xf>
    <xf numFmtId="164" fontId="0" fillId="18" borderId="2" xfId="0" applyNumberFormat="1" applyFont="1" applyFill="1" applyBorder="1" applyAlignment="1">
      <alignment horizontal="right"/>
    </xf>
    <xf numFmtId="0" fontId="18" fillId="19" borderId="2" xfId="0" applyFont="1" applyFill="1" applyBorder="1" applyProtection="1">
      <protection locked="0"/>
    </xf>
    <xf numFmtId="0" fontId="0" fillId="19" borderId="2" xfId="0" applyFill="1" applyBorder="1"/>
    <xf numFmtId="177" fontId="5" fillId="20" borderId="2" xfId="0" applyNumberFormat="1" applyFont="1" applyFill="1" applyBorder="1" applyAlignment="1">
      <alignment horizontal="center" vertical="center" wrapText="1"/>
    </xf>
    <xf numFmtId="176" fontId="0" fillId="0" borderId="2" xfId="2" applyNumberFormat="1" applyFont="1" applyBorder="1"/>
    <xf numFmtId="170" fontId="0" fillId="0" borderId="2" xfId="0" applyNumberFormat="1" applyBorder="1"/>
    <xf numFmtId="3" fontId="0" fillId="0" borderId="2" xfId="2" applyNumberFormat="1" applyFont="1" applyBorder="1"/>
    <xf numFmtId="164" fontId="0" fillId="0" borderId="2" xfId="0" applyNumberFormat="1" applyFont="1" applyFill="1" applyBorder="1" applyAlignment="1">
      <alignment horizontal="left"/>
    </xf>
    <xf numFmtId="49" fontId="0" fillId="0" borderId="2" xfId="0" applyNumberFormat="1" applyFont="1" applyFill="1" applyBorder="1" applyAlignment="1">
      <alignment horizontal="center"/>
    </xf>
    <xf numFmtId="170" fontId="0" fillId="2" borderId="2" xfId="0" applyNumberFormat="1" applyFont="1" applyFill="1" applyBorder="1" applyAlignment="1">
      <alignment horizontal="right"/>
    </xf>
    <xf numFmtId="170" fontId="0" fillId="3" borderId="2" xfId="0" applyNumberFormat="1" applyFont="1" applyFill="1" applyBorder="1" applyAlignment="1">
      <alignment horizontal="right"/>
    </xf>
    <xf numFmtId="166" fontId="20" fillId="6" borderId="12" xfId="0" applyNumberFormat="1" applyFont="1" applyFill="1" applyBorder="1" applyAlignment="1">
      <alignment horizontal="center"/>
    </xf>
    <xf numFmtId="14" fontId="18" fillId="7" borderId="13" xfId="0" applyNumberFormat="1" applyFont="1" applyFill="1" applyBorder="1" applyAlignment="1" applyProtection="1">
      <alignment horizontal="left"/>
      <protection locked="0"/>
    </xf>
    <xf numFmtId="0" fontId="35" fillId="6" borderId="12" xfId="0" applyFont="1" applyFill="1" applyBorder="1" applyAlignment="1">
      <alignment horizontal="center"/>
    </xf>
    <xf numFmtId="0" fontId="37" fillId="8" borderId="14" xfId="0" applyFont="1" applyFill="1" applyBorder="1" applyAlignment="1">
      <alignment horizontal="center"/>
    </xf>
    <xf numFmtId="0" fontId="37" fillId="11" borderId="14" xfId="0" applyFont="1" applyFill="1" applyBorder="1" applyAlignment="1">
      <alignment horizontal="center"/>
    </xf>
    <xf numFmtId="167" fontId="40" fillId="8" borderId="14" xfId="0" applyNumberFormat="1" applyFont="1" applyFill="1" applyBorder="1" applyProtection="1">
      <protection locked="0"/>
    </xf>
    <xf numFmtId="167" fontId="42" fillId="0" borderId="14" xfId="0" applyNumberFormat="1" applyFont="1" applyFill="1" applyBorder="1" applyProtection="1">
      <protection locked="0"/>
    </xf>
    <xf numFmtId="167" fontId="43" fillId="0" borderId="14" xfId="0" applyNumberFormat="1" applyFont="1" applyFill="1" applyBorder="1" applyProtection="1">
      <protection locked="0"/>
    </xf>
    <xf numFmtId="167" fontId="44" fillId="0" borderId="14" xfId="0" applyNumberFormat="1" applyFont="1" applyFill="1" applyBorder="1" applyProtection="1">
      <protection locked="0"/>
    </xf>
    <xf numFmtId="167" fontId="45" fillId="0" borderId="14" xfId="0" applyNumberFormat="1" applyFont="1" applyFill="1" applyBorder="1" applyProtection="1">
      <protection locked="0"/>
    </xf>
    <xf numFmtId="167" fontId="19" fillId="10" borderId="14" xfId="0" applyNumberFormat="1" applyFont="1" applyFill="1" applyBorder="1" applyProtection="1">
      <protection locked="0"/>
    </xf>
    <xf numFmtId="0" fontId="18" fillId="0" borderId="15" xfId="0" applyFont="1" applyBorder="1"/>
    <xf numFmtId="0" fontId="18" fillId="0" borderId="16" xfId="0" applyFont="1" applyBorder="1"/>
    <xf numFmtId="167" fontId="40" fillId="13" borderId="14" xfId="0" applyNumberFormat="1" applyFont="1" applyFill="1" applyBorder="1" applyProtection="1">
      <protection locked="0"/>
    </xf>
    <xf numFmtId="167" fontId="42" fillId="13" borderId="14" xfId="0" applyNumberFormat="1" applyFont="1" applyFill="1" applyBorder="1" applyProtection="1">
      <protection locked="0"/>
    </xf>
    <xf numFmtId="167" fontId="43" fillId="13" borderId="14" xfId="0" applyNumberFormat="1" applyFont="1" applyFill="1" applyBorder="1" applyProtection="1">
      <protection locked="0"/>
    </xf>
    <xf numFmtId="167" fontId="44" fillId="13" borderId="14" xfId="0" applyNumberFormat="1" applyFont="1" applyFill="1" applyBorder="1" applyProtection="1">
      <protection locked="0"/>
    </xf>
    <xf numFmtId="167" fontId="45" fillId="13" borderId="14" xfId="0" applyNumberFormat="1" applyFont="1" applyFill="1" applyBorder="1" applyProtection="1">
      <protection locked="0"/>
    </xf>
    <xf numFmtId="167" fontId="40" fillId="2" borderId="14" xfId="0" applyNumberFormat="1" applyFont="1" applyFill="1" applyBorder="1" applyProtection="1">
      <protection locked="0"/>
    </xf>
    <xf numFmtId="167" fontId="42" fillId="2" borderId="14" xfId="0" applyNumberFormat="1" applyFont="1" applyFill="1" applyBorder="1" applyProtection="1">
      <protection locked="0"/>
    </xf>
    <xf numFmtId="167" fontId="43" fillId="2" borderId="14" xfId="0" applyNumberFormat="1" applyFont="1" applyFill="1" applyBorder="1" applyProtection="1">
      <protection locked="0"/>
    </xf>
    <xf numFmtId="167" fontId="44" fillId="2" borderId="14" xfId="0" applyNumberFormat="1" applyFont="1" applyFill="1" applyBorder="1" applyProtection="1">
      <protection locked="0"/>
    </xf>
    <xf numFmtId="167" fontId="45" fillId="2" borderId="14" xfId="0" applyNumberFormat="1" applyFont="1" applyFill="1" applyBorder="1" applyProtection="1">
      <protection locked="0"/>
    </xf>
    <xf numFmtId="0" fontId="0" fillId="2" borderId="14" xfId="0" applyFill="1" applyBorder="1"/>
    <xf numFmtId="167" fontId="49" fillId="0" borderId="14" xfId="0" applyNumberFormat="1" applyFont="1" applyFill="1" applyBorder="1" applyProtection="1">
      <protection locked="0"/>
    </xf>
    <xf numFmtId="167" fontId="50" fillId="0" borderId="14" xfId="0" applyNumberFormat="1" applyFont="1" applyFill="1" applyBorder="1" applyProtection="1">
      <protection locked="0"/>
    </xf>
    <xf numFmtId="167" fontId="40" fillId="6" borderId="14" xfId="0" applyNumberFormat="1" applyFont="1" applyFill="1" applyBorder="1" applyProtection="1">
      <protection locked="0"/>
    </xf>
    <xf numFmtId="167" fontId="19" fillId="6" borderId="14" xfId="0" applyNumberFormat="1" applyFont="1" applyFill="1" applyBorder="1" applyProtection="1">
      <protection locked="0"/>
    </xf>
    <xf numFmtId="167" fontId="42" fillId="6" borderId="14" xfId="0" applyNumberFormat="1" applyFont="1" applyFill="1" applyBorder="1" applyProtection="1">
      <protection locked="0"/>
    </xf>
    <xf numFmtId="167" fontId="43" fillId="6" borderId="14" xfId="0" applyNumberFormat="1" applyFont="1" applyFill="1" applyBorder="1" applyProtection="1">
      <protection locked="0"/>
    </xf>
    <xf numFmtId="167" fontId="44" fillId="6" borderId="14" xfId="0" applyNumberFormat="1" applyFont="1" applyFill="1" applyBorder="1" applyProtection="1">
      <protection locked="0"/>
    </xf>
    <xf numFmtId="167" fontId="45" fillId="6" borderId="14" xfId="0" applyNumberFormat="1" applyFont="1" applyFill="1" applyBorder="1" applyProtection="1">
      <protection locked="0"/>
    </xf>
    <xf numFmtId="0" fontId="18" fillId="4" borderId="15" xfId="0" applyFont="1" applyFill="1" applyBorder="1"/>
    <xf numFmtId="0" fontId="18" fillId="4" borderId="16" xfId="0" applyFont="1" applyFill="1" applyBorder="1"/>
    <xf numFmtId="0" fontId="18" fillId="14" borderId="15" xfId="0" applyFont="1" applyFill="1" applyBorder="1"/>
    <xf numFmtId="0" fontId="18" fillId="14" borderId="16" xfId="0" applyFont="1" applyFill="1" applyBorder="1"/>
    <xf numFmtId="0" fontId="18" fillId="15" borderId="15" xfId="0" applyFont="1" applyFill="1" applyBorder="1"/>
    <xf numFmtId="0" fontId="18" fillId="15" borderId="16" xfId="0" applyFont="1" applyFill="1" applyBorder="1"/>
    <xf numFmtId="167" fontId="40" fillId="15" borderId="14" xfId="0" applyNumberFormat="1" applyFont="1" applyFill="1" applyBorder="1" applyProtection="1">
      <protection locked="0"/>
    </xf>
    <xf numFmtId="167" fontId="42" fillId="15" borderId="14" xfId="0" applyNumberFormat="1" applyFont="1" applyFill="1" applyBorder="1" applyProtection="1">
      <protection locked="0"/>
    </xf>
    <xf numFmtId="167" fontId="43" fillId="15" borderId="14" xfId="0" applyNumberFormat="1" applyFont="1" applyFill="1" applyBorder="1" applyProtection="1">
      <protection locked="0"/>
    </xf>
    <xf numFmtId="167" fontId="44" fillId="15" borderId="14" xfId="0" applyNumberFormat="1" applyFont="1" applyFill="1" applyBorder="1" applyProtection="1">
      <protection locked="0"/>
    </xf>
    <xf numFmtId="167" fontId="45" fillId="15" borderId="14" xfId="0" applyNumberFormat="1" applyFont="1" applyFill="1" applyBorder="1" applyProtection="1">
      <protection locked="0"/>
    </xf>
    <xf numFmtId="0" fontId="18" fillId="6" borderId="15" xfId="0" applyFont="1" applyFill="1" applyBorder="1"/>
    <xf numFmtId="0" fontId="18" fillId="6" borderId="16" xfId="0" applyFont="1" applyFill="1" applyBorder="1"/>
    <xf numFmtId="0" fontId="0" fillId="6" borderId="14" xfId="0" applyFill="1" applyBorder="1"/>
    <xf numFmtId="38" fontId="42" fillId="6" borderId="14" xfId="0" applyNumberFormat="1" applyFont="1" applyFill="1" applyBorder="1" applyProtection="1">
      <protection locked="0"/>
    </xf>
    <xf numFmtId="38" fontId="43" fillId="6" borderId="14" xfId="0" applyNumberFormat="1" applyFont="1" applyFill="1" applyBorder="1" applyProtection="1">
      <protection locked="0"/>
    </xf>
    <xf numFmtId="38" fontId="44" fillId="6" borderId="14" xfId="0" applyNumberFormat="1" applyFont="1" applyFill="1" applyBorder="1" applyProtection="1">
      <protection locked="0"/>
    </xf>
    <xf numFmtId="38" fontId="45" fillId="6" borderId="14" xfId="0" applyNumberFormat="1" applyFont="1" applyFill="1" applyBorder="1" applyProtection="1">
      <protection locked="0"/>
    </xf>
    <xf numFmtId="0" fontId="35" fillId="11" borderId="15" xfId="0" applyFont="1" applyFill="1" applyBorder="1"/>
    <xf numFmtId="0" fontId="0" fillId="11" borderId="17" xfId="0" applyFill="1" applyBorder="1"/>
    <xf numFmtId="0" fontId="53" fillId="11" borderId="14" xfId="0" applyFont="1" applyFill="1" applyBorder="1" applyAlignment="1">
      <alignment horizontal="center"/>
    </xf>
    <xf numFmtId="0" fontId="54" fillId="11" borderId="14" xfId="0" applyFont="1" applyFill="1" applyBorder="1" applyAlignment="1">
      <alignment horizontal="center"/>
    </xf>
    <xf numFmtId="0" fontId="55" fillId="11" borderId="14" xfId="0" applyFont="1" applyFill="1" applyBorder="1" applyAlignment="1">
      <alignment horizontal="center"/>
    </xf>
    <xf numFmtId="38" fontId="40" fillId="8" borderId="14" xfId="0" applyNumberFormat="1" applyFont="1" applyFill="1" applyBorder="1"/>
    <xf numFmtId="38" fontId="41" fillId="0" borderId="14" xfId="0" applyNumberFormat="1" applyFont="1" applyBorder="1"/>
    <xf numFmtId="38" fontId="25" fillId="0" borderId="14" xfId="0" applyNumberFormat="1" applyFont="1" applyBorder="1"/>
    <xf numFmtId="38" fontId="42" fillId="19" borderId="14" xfId="0" applyNumberFormat="1" applyFont="1" applyFill="1" applyBorder="1" applyProtection="1">
      <protection locked="0"/>
    </xf>
    <xf numFmtId="38" fontId="43" fillId="7" borderId="14" xfId="0" applyNumberFormat="1" applyFont="1" applyFill="1" applyBorder="1" applyProtection="1">
      <protection locked="0"/>
    </xf>
    <xf numFmtId="38" fontId="44" fillId="7" borderId="14" xfId="0" applyNumberFormat="1" applyFont="1" applyFill="1" applyBorder="1" applyProtection="1">
      <protection locked="0"/>
    </xf>
    <xf numFmtId="38" fontId="45" fillId="7" borderId="14" xfId="0" applyNumberFormat="1" applyFont="1" applyFill="1" applyBorder="1" applyProtection="1">
      <protection locked="0"/>
    </xf>
    <xf numFmtId="38" fontId="42" fillId="7" borderId="14" xfId="0" applyNumberFormat="1" applyFont="1" applyFill="1" applyBorder="1" applyProtection="1">
      <protection locked="0"/>
    </xf>
    <xf numFmtId="167" fontId="40" fillId="8" borderId="14" xfId="0" applyNumberFormat="1" applyFont="1" applyFill="1" applyBorder="1" applyAlignment="1">
      <alignment horizontal="center"/>
    </xf>
    <xf numFmtId="38" fontId="50" fillId="7" borderId="14" xfId="0" applyNumberFormat="1" applyFont="1" applyFill="1" applyBorder="1" applyAlignment="1">
      <alignment horizontal="right"/>
    </xf>
    <xf numFmtId="38" fontId="44" fillId="7" borderId="14" xfId="0" applyNumberFormat="1" applyFont="1" applyFill="1" applyBorder="1" applyAlignment="1">
      <alignment horizontal="right"/>
    </xf>
    <xf numFmtId="38" fontId="45" fillId="7" borderId="14" xfId="0" applyNumberFormat="1" applyFont="1" applyFill="1" applyBorder="1" applyAlignment="1">
      <alignment horizontal="right"/>
    </xf>
    <xf numFmtId="0" fontId="35" fillId="11" borderId="14" xfId="0" applyFont="1" applyFill="1" applyBorder="1" applyAlignment="1">
      <alignment horizontal="center"/>
    </xf>
    <xf numFmtId="168" fontId="40" fillId="16" borderId="14" xfId="0" applyNumberFormat="1" applyFont="1" applyFill="1" applyBorder="1" applyProtection="1">
      <protection locked="0"/>
    </xf>
    <xf numFmtId="168" fontId="41" fillId="16" borderId="14" xfId="0" applyNumberFormat="1" applyFont="1" applyFill="1" applyBorder="1" applyProtection="1">
      <protection locked="0"/>
    </xf>
    <xf numFmtId="168" fontId="42" fillId="4" borderId="14" xfId="0" applyNumberFormat="1" applyFont="1" applyFill="1" applyBorder="1" applyProtection="1">
      <protection locked="0"/>
    </xf>
    <xf numFmtId="168" fontId="43" fillId="4" borderId="14" xfId="0" applyNumberFormat="1" applyFont="1" applyFill="1" applyBorder="1" applyProtection="1">
      <protection locked="0"/>
    </xf>
    <xf numFmtId="168" fontId="44" fillId="4" borderId="14" xfId="0" applyNumberFormat="1" applyFont="1" applyFill="1" applyBorder="1" applyProtection="1">
      <protection locked="0"/>
    </xf>
    <xf numFmtId="168" fontId="45" fillId="4" borderId="14" xfId="0" applyNumberFormat="1" applyFont="1" applyFill="1" applyBorder="1" applyProtection="1">
      <protection locked="0"/>
    </xf>
    <xf numFmtId="38" fontId="40" fillId="16" borderId="14" xfId="0" applyNumberFormat="1" applyFont="1" applyFill="1" applyBorder="1" applyProtection="1">
      <protection locked="0"/>
    </xf>
    <xf numFmtId="38" fontId="41" fillId="16" borderId="14" xfId="0" applyNumberFormat="1" applyFont="1" applyFill="1" applyBorder="1" applyProtection="1">
      <protection locked="0"/>
    </xf>
    <xf numFmtId="168" fontId="40" fillId="8" borderId="14" xfId="0" applyNumberFormat="1" applyFont="1" applyFill="1" applyBorder="1" applyProtection="1">
      <protection locked="0"/>
    </xf>
    <xf numFmtId="168" fontId="42" fillId="7" borderId="14" xfId="0" applyNumberFormat="1" applyFont="1" applyFill="1" applyBorder="1" applyProtection="1">
      <protection locked="0"/>
    </xf>
    <xf numFmtId="168" fontId="43" fillId="7" borderId="14" xfId="0" applyNumberFormat="1" applyFont="1" applyFill="1" applyBorder="1" applyProtection="1">
      <protection locked="0"/>
    </xf>
    <xf numFmtId="168" fontId="44" fillId="7" borderId="14" xfId="0" applyNumberFormat="1" applyFont="1" applyFill="1" applyBorder="1" applyProtection="1">
      <protection locked="0"/>
    </xf>
    <xf numFmtId="168" fontId="45" fillId="7" borderId="14" xfId="0" applyNumberFormat="1" applyFont="1" applyFill="1" applyBorder="1" applyProtection="1">
      <protection locked="0"/>
    </xf>
    <xf numFmtId="38" fontId="40" fillId="8" borderId="14" xfId="0" applyNumberFormat="1" applyFont="1" applyFill="1" applyBorder="1" applyProtection="1">
      <protection locked="0"/>
    </xf>
    <xf numFmtId="168" fontId="41" fillId="10" borderId="14" xfId="0" applyNumberFormat="1" applyFont="1" applyFill="1" applyBorder="1" applyProtection="1">
      <protection locked="0"/>
    </xf>
    <xf numFmtId="38" fontId="41" fillId="10" borderId="14" xfId="0" applyNumberFormat="1" applyFont="1" applyFill="1" applyBorder="1" applyProtection="1">
      <protection locked="0"/>
    </xf>
    <xf numFmtId="38" fontId="19" fillId="10" borderId="14" xfId="0" applyNumberFormat="1" applyFont="1" applyFill="1" applyBorder="1" applyProtection="1">
      <protection locked="0"/>
    </xf>
    <xf numFmtId="38" fontId="42" fillId="0" borderId="14" xfId="0" applyNumberFormat="1" applyFont="1" applyFill="1" applyBorder="1" applyProtection="1">
      <protection locked="0"/>
    </xf>
    <xf numFmtId="38" fontId="43" fillId="0" borderId="14" xfId="0" applyNumberFormat="1" applyFont="1" applyFill="1" applyBorder="1" applyProtection="1">
      <protection locked="0"/>
    </xf>
    <xf numFmtId="38" fontId="44" fillId="0" borderId="14" xfId="0" applyNumberFormat="1" applyFont="1" applyFill="1" applyBorder="1" applyProtection="1">
      <protection locked="0"/>
    </xf>
    <xf numFmtId="38" fontId="45" fillId="0" borderId="14" xfId="0" applyNumberFormat="1" applyFont="1" applyFill="1" applyBorder="1" applyProtection="1">
      <protection locked="0"/>
    </xf>
    <xf numFmtId="38" fontId="42" fillId="0" borderId="14" xfId="0" applyNumberFormat="1" applyFont="1" applyFill="1" applyBorder="1" applyAlignment="1" applyProtection="1">
      <alignment horizontal="center"/>
      <protection locked="0"/>
    </xf>
    <xf numFmtId="38" fontId="43" fillId="0" borderId="14" xfId="0" applyNumberFormat="1" applyFont="1" applyFill="1" applyBorder="1" applyAlignment="1" applyProtection="1">
      <alignment horizontal="center"/>
      <protection locked="0"/>
    </xf>
    <xf numFmtId="38" fontId="44" fillId="0" borderId="14" xfId="0" applyNumberFormat="1" applyFont="1" applyFill="1" applyBorder="1" applyAlignment="1" applyProtection="1">
      <alignment horizontal="center"/>
      <protection locked="0"/>
    </xf>
    <xf numFmtId="38" fontId="45" fillId="0" borderId="14" xfId="0" applyNumberFormat="1" applyFont="1" applyFill="1" applyBorder="1" applyAlignment="1" applyProtection="1">
      <alignment horizontal="center"/>
      <protection locked="0"/>
    </xf>
    <xf numFmtId="0" fontId="18" fillId="16" borderId="16" xfId="0" applyFont="1" applyFill="1" applyBorder="1"/>
    <xf numFmtId="0" fontId="0" fillId="12" borderId="14" xfId="0" applyFill="1" applyBorder="1"/>
    <xf numFmtId="38" fontId="42" fillId="0" borderId="14" xfId="0" applyNumberFormat="1" applyFont="1" applyFill="1" applyBorder="1" applyAlignment="1" applyProtection="1">
      <alignment horizontal="right"/>
      <protection locked="0"/>
    </xf>
    <xf numFmtId="38" fontId="43" fillId="0" borderId="14" xfId="0" applyNumberFormat="1" applyFont="1" applyFill="1" applyBorder="1" applyAlignment="1" applyProtection="1">
      <alignment horizontal="right"/>
      <protection locked="0"/>
    </xf>
    <xf numFmtId="38" fontId="44" fillId="0" borderId="14" xfId="0" applyNumberFormat="1" applyFont="1" applyFill="1" applyBorder="1" applyAlignment="1" applyProtection="1">
      <alignment horizontal="right"/>
      <protection locked="0"/>
    </xf>
    <xf numFmtId="38" fontId="45" fillId="0" borderId="14" xfId="0" applyNumberFormat="1" applyFont="1" applyFill="1" applyBorder="1" applyAlignment="1" applyProtection="1">
      <alignment horizontal="right"/>
      <protection locked="0"/>
    </xf>
    <xf numFmtId="167" fontId="41" fillId="7" borderId="14" xfId="0" applyNumberFormat="1" applyFont="1" applyFill="1" applyBorder="1" applyProtection="1">
      <protection locked="0"/>
    </xf>
    <xf numFmtId="167" fontId="42" fillId="4" borderId="14" xfId="0" applyNumberFormat="1" applyFont="1" applyFill="1" applyBorder="1" applyProtection="1">
      <protection locked="0"/>
    </xf>
    <xf numFmtId="167" fontId="43" fillId="4" borderId="14" xfId="0" applyNumberFormat="1" applyFont="1" applyFill="1" applyBorder="1" applyProtection="1">
      <protection locked="0"/>
    </xf>
    <xf numFmtId="167" fontId="44" fillId="4" borderId="14" xfId="0" applyNumberFormat="1" applyFont="1" applyFill="1" applyBorder="1" applyProtection="1">
      <protection locked="0"/>
    </xf>
    <xf numFmtId="167" fontId="45" fillId="4" borderId="14" xfId="0" applyNumberFormat="1" applyFont="1" applyFill="1" applyBorder="1" applyProtection="1">
      <protection locked="0"/>
    </xf>
    <xf numFmtId="38" fontId="42" fillId="4" borderId="14" xfId="0" applyNumberFormat="1" applyFont="1" applyFill="1" applyBorder="1" applyProtection="1">
      <protection locked="0"/>
    </xf>
    <xf numFmtId="38" fontId="43" fillId="4" borderId="14" xfId="0" applyNumberFormat="1" applyFont="1" applyFill="1" applyBorder="1" applyProtection="1">
      <protection locked="0"/>
    </xf>
    <xf numFmtId="38" fontId="44" fillId="4" borderId="14" xfId="0" applyNumberFormat="1" applyFont="1" applyFill="1" applyBorder="1" applyProtection="1">
      <protection locked="0"/>
    </xf>
    <xf numFmtId="38" fontId="45" fillId="4" borderId="14" xfId="0" applyNumberFormat="1" applyFont="1" applyFill="1" applyBorder="1" applyProtection="1">
      <protection locked="0"/>
    </xf>
    <xf numFmtId="0" fontId="18" fillId="13" borderId="16" xfId="0" applyFont="1" applyFill="1" applyBorder="1"/>
    <xf numFmtId="38" fontId="61" fillId="0" borderId="14" xfId="0" applyNumberFormat="1" applyFont="1" applyBorder="1" applyAlignment="1">
      <alignment horizontal="right"/>
    </xf>
    <xf numFmtId="38" fontId="42" fillId="10" borderId="14" xfId="0" applyNumberFormat="1" applyFont="1" applyFill="1" applyBorder="1" applyProtection="1">
      <protection locked="0"/>
    </xf>
    <xf numFmtId="38" fontId="62" fillId="10" borderId="14" xfId="0" applyNumberFormat="1" applyFont="1" applyFill="1" applyBorder="1" applyProtection="1">
      <protection locked="0"/>
    </xf>
    <xf numFmtId="38" fontId="44" fillId="10" borderId="14" xfId="0" applyNumberFormat="1" applyFont="1" applyFill="1" applyBorder="1" applyProtection="1">
      <protection locked="0"/>
    </xf>
    <xf numFmtId="38" fontId="45" fillId="10" borderId="14" xfId="0" applyNumberFormat="1" applyFont="1" applyFill="1" applyBorder="1" applyProtection="1">
      <protection locked="0"/>
    </xf>
    <xf numFmtId="38" fontId="62" fillId="4" borderId="14" xfId="0" applyNumberFormat="1" applyFont="1" applyFill="1" applyBorder="1" applyProtection="1">
      <protection locked="0"/>
    </xf>
    <xf numFmtId="38" fontId="62" fillId="7" borderId="14" xfId="0" applyNumberFormat="1" applyFont="1" applyFill="1" applyBorder="1" applyProtection="1">
      <protection locked="0"/>
    </xf>
    <xf numFmtId="38" fontId="40" fillId="8" borderId="14" xfId="0" applyNumberFormat="1" applyFont="1" applyFill="1" applyBorder="1" applyAlignment="1" applyProtection="1">
      <alignment horizontal="center"/>
      <protection locked="0"/>
    </xf>
    <xf numFmtId="38" fontId="64" fillId="0" borderId="14" xfId="0" applyNumberFormat="1" applyFont="1" applyFill="1" applyBorder="1" applyAlignment="1" applyProtection="1">
      <alignment horizontal="center"/>
      <protection locked="0"/>
    </xf>
    <xf numFmtId="38" fontId="38" fillId="0" borderId="14" xfId="0" applyNumberFormat="1" applyFont="1" applyFill="1" applyBorder="1" applyAlignment="1" applyProtection="1">
      <alignment horizontal="center"/>
      <protection locked="0"/>
    </xf>
    <xf numFmtId="38" fontId="49" fillId="0" borderId="14" xfId="0" applyNumberFormat="1" applyFont="1" applyFill="1" applyBorder="1" applyAlignment="1" applyProtection="1">
      <alignment horizontal="center"/>
      <protection locked="0"/>
    </xf>
    <xf numFmtId="0" fontId="18" fillId="5" borderId="16" xfId="0" quotePrefix="1" applyFont="1" applyFill="1" applyBorder="1"/>
    <xf numFmtId="0" fontId="18" fillId="5" borderId="16" xfId="0" applyFont="1" applyFill="1" applyBorder="1"/>
    <xf numFmtId="38" fontId="41" fillId="10" borderId="14" xfId="0" applyNumberFormat="1" applyFont="1" applyFill="1" applyBorder="1" applyAlignment="1" applyProtection="1">
      <alignment horizontal="center"/>
      <protection locked="0"/>
    </xf>
    <xf numFmtId="38" fontId="42" fillId="10" borderId="14" xfId="0" applyNumberFormat="1" applyFont="1" applyFill="1" applyBorder="1" applyAlignment="1" applyProtection="1">
      <alignment horizontal="center"/>
      <protection locked="0"/>
    </xf>
    <xf numFmtId="0" fontId="18" fillId="5" borderId="17" xfId="0" applyFont="1" applyFill="1" applyBorder="1"/>
    <xf numFmtId="0" fontId="0" fillId="8" borderId="14" xfId="0" applyFill="1" applyBorder="1"/>
    <xf numFmtId="168" fontId="64" fillId="7" borderId="14" xfId="0" applyNumberFormat="1" applyFont="1" applyFill="1" applyBorder="1" applyProtection="1">
      <protection locked="0"/>
    </xf>
    <xf numFmtId="38" fontId="64" fillId="7" borderId="14" xfId="0" applyNumberFormat="1" applyFont="1" applyFill="1" applyBorder="1" applyProtection="1">
      <protection locked="0"/>
    </xf>
    <xf numFmtId="0" fontId="0" fillId="5" borderId="14" xfId="0" applyFill="1" applyBorder="1"/>
    <xf numFmtId="168" fontId="40" fillId="8" borderId="14" xfId="0" applyNumberFormat="1" applyFont="1" applyFill="1" applyBorder="1"/>
    <xf numFmtId="168" fontId="41" fillId="0" borderId="14" xfId="0" applyNumberFormat="1" applyFont="1" applyFill="1" applyBorder="1"/>
    <xf numFmtId="168" fontId="19" fillId="0" borderId="14" xfId="0" applyNumberFormat="1" applyFont="1" applyFill="1" applyBorder="1"/>
    <xf numFmtId="170" fontId="42" fillId="0" borderId="14" xfId="0" applyNumberFormat="1" applyFont="1" applyFill="1" applyBorder="1"/>
    <xf numFmtId="170" fontId="43" fillId="0" borderId="14" xfId="0" applyNumberFormat="1" applyFont="1" applyFill="1" applyBorder="1"/>
    <xf numFmtId="170" fontId="44" fillId="0" borderId="14" xfId="0" applyNumberFormat="1" applyFont="1" applyFill="1" applyBorder="1"/>
    <xf numFmtId="170" fontId="45" fillId="0" borderId="14" xfId="0" applyNumberFormat="1" applyFont="1" applyFill="1" applyBorder="1"/>
    <xf numFmtId="170" fontId="43" fillId="4" borderId="14" xfId="0" applyNumberFormat="1" applyFont="1" applyFill="1" applyBorder="1"/>
    <xf numFmtId="170" fontId="44" fillId="4" borderId="14" xfId="0" applyNumberFormat="1" applyFont="1" applyFill="1" applyBorder="1"/>
    <xf numFmtId="170" fontId="45" fillId="4" borderId="14" xfId="0" applyNumberFormat="1" applyFont="1" applyFill="1" applyBorder="1"/>
    <xf numFmtId="38" fontId="61" fillId="0" borderId="14" xfId="0" applyNumberFormat="1" applyFont="1" applyBorder="1" applyAlignment="1">
      <alignment horizontal="center"/>
    </xf>
    <xf numFmtId="165" fontId="0" fillId="0" borderId="2" xfId="0" applyNumberFormat="1" applyBorder="1" applyAlignment="1">
      <alignment horizontal="center"/>
    </xf>
    <xf numFmtId="49" fontId="0" fillId="0" borderId="2" xfId="0" applyNumberFormat="1" applyBorder="1" applyAlignment="1">
      <alignment horizontal="left"/>
    </xf>
    <xf numFmtId="0" fontId="0" fillId="0" borderId="2" xfId="0" applyBorder="1" applyAlignment="1">
      <alignment horizontal="left"/>
    </xf>
    <xf numFmtId="164" fontId="0" fillId="0" borderId="2" xfId="1" applyNumberFormat="1" applyFont="1" applyBorder="1" applyAlignment="1">
      <alignment horizontal="right"/>
    </xf>
    <xf numFmtId="1" fontId="0" fillId="0" borderId="2" xfId="0" applyNumberFormat="1" applyBorder="1" applyAlignment="1">
      <alignment horizontal="center" wrapText="1"/>
    </xf>
    <xf numFmtId="1" fontId="0" fillId="21" borderId="2" xfId="0" applyNumberFormat="1" applyFill="1" applyBorder="1" applyAlignment="1">
      <alignment horizontal="center" wrapText="1"/>
    </xf>
    <xf numFmtId="0" fontId="75" fillId="0" borderId="7" xfId="3" applyFill="1" applyBorder="1" applyAlignment="1">
      <alignment horizontal="left"/>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f_FY1724_r16_86thLeg_HB3,%20OG,%20SM,%20313%20Skidmore-Tynan,%206-2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isting Debt-HB3"/>
      <sheetName val="IFA-HB3"/>
      <sheetName val="Copyright"/>
      <sheetName val="Notes"/>
      <sheetName val="SqMiles"/>
      <sheetName val="Early Education-Example"/>
      <sheetName val="Assumptions"/>
      <sheetName val="Weights"/>
      <sheetName val="Ch41 Calc Data"/>
      <sheetName val="SOF1718-HB3646"/>
      <sheetName val="SOF1819-HB3646"/>
      <sheetName val="DE1"/>
      <sheetName val="Weights-HB3"/>
      <sheetName val="Data Entry - SOF"/>
      <sheetName val="TEA SOF 18-19"/>
      <sheetName val="TEA SOF 19-20"/>
      <sheetName val="Option Costs"/>
      <sheetName val="Option Costs-Transition"/>
      <sheetName val="Calc Data"/>
      <sheetName val="TEA SOF 20-21"/>
      <sheetName val="IFA_Limits"/>
      <sheetName val="Report-SOF1819"/>
      <sheetName val="Report-SOF1920-HB3"/>
      <sheetName val="Report-SOF2021-HB3"/>
      <sheetName val="HB3-RollbackRates"/>
      <sheetName val="Notice Calc2021"/>
      <sheetName val="RateToMaintain2021"/>
      <sheetName val="Notice2021"/>
      <sheetName val="Report-SOF2122-HB3"/>
      <sheetName val="Report-SOF2223-HB3"/>
      <sheetName val="Report-SOF2324-HB3"/>
      <sheetName val="Report-SOF-AllYears"/>
      <sheetName val="The30%"/>
      <sheetName val="Recapture1920-HB3"/>
      <sheetName val="Recapture2021-HB3"/>
      <sheetName val="Recapture2122-HB3"/>
      <sheetName val="Recapture2223-HB3"/>
      <sheetName val="Recapture2324-HB3"/>
      <sheetName val="SOF1819-SB1"/>
      <sheetName val="SOF1920-HB3"/>
      <sheetName val="SOF2021-HB3"/>
      <sheetName val="SOF2122-HB3"/>
      <sheetName val="SOF2223-HB3"/>
      <sheetName val="SOF2324-HB3"/>
      <sheetName val="Report-SOF2021"/>
      <sheetName val="Report-SOF2122"/>
      <sheetName val="Report-SOF2223"/>
      <sheetName val="Report-SOF2324"/>
      <sheetName val="DistCharter-Data1819"/>
      <sheetName val="DistCharter-Funding1819"/>
      <sheetName val="DistCharter-Data1920"/>
      <sheetName val="DistCharter-Funding1920"/>
      <sheetName val="DistCharter-Data2021"/>
      <sheetName val="DistCharter-Funding2021"/>
      <sheetName val="HH1819-Calcs"/>
      <sheetName val="Calc Data-15K"/>
      <sheetName val="HH1920-Calcs"/>
      <sheetName val="IFA-OldLaw"/>
      <sheetName val="ASATR"/>
      <sheetName val="Option Costs-HH-15K"/>
      <sheetName val="Option Costs-HH"/>
      <sheetName val="FracFunding1718"/>
      <sheetName val="Report-SOF1718"/>
      <sheetName val="HH1718-Calcs"/>
      <sheetName val="FracFunding1819"/>
      <sheetName val="SOF1718-SB1"/>
      <sheetName val="SOF2021-SB1"/>
      <sheetName val="Existing Debt-OldLaw"/>
      <sheetName val="HH2021-Calcs"/>
      <sheetName val="HH2122-Calcs"/>
      <sheetName val="HH2223-Calcs"/>
      <sheetName val="HH2324-Calcs"/>
      <sheetName val="SOF2122-SB1"/>
      <sheetName val="SOF2223-SB1"/>
      <sheetName val="SOF2324-SB1"/>
      <sheetName val="FracFunding1920"/>
      <sheetName val="FracFunding2021"/>
      <sheetName val="FracFunding2122"/>
      <sheetName val="FracFunding2223"/>
      <sheetName val="FracFunding2324"/>
      <sheetName val="Data - Notice1920"/>
      <sheetName val="Comparisons"/>
      <sheetName val="GraphData"/>
      <sheetName val="Graphs"/>
      <sheetName val="Report-Recapture1718"/>
      <sheetName val="Report-Recapture1819"/>
      <sheetName val="Report-Recapture2021"/>
      <sheetName val="Report-Recapture2122"/>
      <sheetName val="Report-Recapture2223"/>
      <sheetName val="Report-Recapture2324"/>
      <sheetName val="Report-Calculations"/>
      <sheetName val="Report-SpEd1819"/>
      <sheetName val="SpEdDetail1920-HB3"/>
      <sheetName val="SpEdDetail2021-HB3"/>
      <sheetName val="SpEdDetail2122-HB3"/>
      <sheetName val="SpEdDetail2223-HB3"/>
      <sheetName val="SpEdDetail2324-HB3"/>
      <sheetName val="Report-M&amp;O1819"/>
      <sheetName val="M&amp;ODetail1920-HB3"/>
      <sheetName val="M&amp;ODetail2021-HB3"/>
      <sheetName val="M&amp;ODetail2122-HB3"/>
      <sheetName val="M&amp;ODetail2223-HB3"/>
      <sheetName val="M&amp;ODetail2324-HB3"/>
      <sheetName val="Report-AA1819"/>
      <sheetName val="Report-T1Detail1819"/>
      <sheetName val="T1Detail1920-HB3"/>
      <sheetName val="T1Detail2021-HB3"/>
      <sheetName val="T1Detail2122-HB3"/>
      <sheetName val="T1Detail2223-HB3"/>
      <sheetName val="T1Detail2324-HB3"/>
      <sheetName val="Report-T2Detail1819"/>
      <sheetName val="T2Detail1920-HB3"/>
      <sheetName val="T2Detail2021-HB3"/>
      <sheetName val="T2Detail2122-HB3"/>
      <sheetName val="T2Detail2223-HB3"/>
      <sheetName val="T2Detail2324-HB3"/>
      <sheetName val="Report-ASATR1819"/>
      <sheetName val="Report-Other1819"/>
      <sheetName val="OtherDetail1920-HB3"/>
      <sheetName val="OtherDetail2021-HB3"/>
      <sheetName val="OtherDetail2122-HB3"/>
      <sheetName val="OtherDetail2223-HB3"/>
      <sheetName val="OtherDetail2324-HB3"/>
      <sheetName val="Report-EDA1819"/>
      <sheetName val="EDADetail1920-HB3"/>
      <sheetName val="EDADetail2021-HB3"/>
      <sheetName val="EDADetail2122-HB3"/>
      <sheetName val="EDADetail2223-HB3"/>
      <sheetName val="EDADetail2324-HB3"/>
      <sheetName val="Report-IFA1819"/>
      <sheetName val="IFADetail1920-HB3"/>
      <sheetName val="IFADetail2021-HB3"/>
      <sheetName val="IFADetail2122-HB3"/>
      <sheetName val="IFADetail2223-HB3"/>
      <sheetName val="IFADetail2324-HB3"/>
      <sheetName val="Report-AA1920"/>
      <sheetName val="Report-ASATR1920"/>
      <sheetName val="FSF1920-HB3"/>
      <sheetName val="FSF2021-HB3"/>
      <sheetName val="FSF2122-HB3"/>
      <sheetName val="FSF2223-HB3"/>
      <sheetName val="FSF2324-HB3"/>
      <sheetName val="UnequalizedTaxes"/>
      <sheetName val="HardshipGrant"/>
      <sheetName val="Hardship-DPVAdj1819"/>
      <sheetName val="IFAData_TEA_1718"/>
      <sheetName val="IFAData_TEA_1819"/>
      <sheetName val="IFA_Limits1819"/>
      <sheetName val="HG-DPV-Data"/>
      <sheetName val="IFAData_TEA"/>
      <sheetName val="HH_debt1718"/>
      <sheetName val="HH_debt1819"/>
      <sheetName val="IFAData_TEA_1617"/>
      <sheetName val="TaxYr2015Values"/>
      <sheetName val="final0809"/>
      <sheetName val="staff-ada"/>
      <sheetName val="Data0809"/>
      <sheetName val="Data0910"/>
      <sheetName val="0506Data"/>
      <sheetName val="Data1415"/>
      <sheetName val="TaxYr2016ValuesFinal"/>
      <sheetName val="DeclineAdj"/>
      <sheetName val="Final_2017_Values"/>
      <sheetName val="Prelim_2018_Values"/>
      <sheetName val="Prelim_2019_Values"/>
      <sheetName val="Final_2018_Values"/>
      <sheetName val="CH49_Flag"/>
      <sheetName val="Concatenate"/>
      <sheetName val="Data1617"/>
      <sheetName val="Data1718"/>
      <sheetName val="FastGrowth2021"/>
      <sheetName val="FastGrowth"/>
      <sheetName val="EDA1920"/>
      <sheetName val="EDAHH"/>
    </sheetNames>
    <sheetDataSet>
      <sheetData sheetId="0"/>
      <sheetData sheetId="1"/>
      <sheetData sheetId="2"/>
      <sheetData sheetId="3"/>
      <sheetData sheetId="4"/>
      <sheetData sheetId="5"/>
      <sheetData sheetId="6">
        <row r="129">
          <cell r="G129">
            <v>31.95</v>
          </cell>
          <cell r="H129">
            <v>49.28</v>
          </cell>
        </row>
        <row r="138">
          <cell r="G138">
            <v>31.95</v>
          </cell>
          <cell r="H138">
            <v>49.28</v>
          </cell>
        </row>
        <row r="147">
          <cell r="G147">
            <v>31.95</v>
          </cell>
          <cell r="H147">
            <v>49.28</v>
          </cell>
        </row>
        <row r="156">
          <cell r="G156">
            <v>31.95</v>
          </cell>
          <cell r="H156">
            <v>49.28</v>
          </cell>
        </row>
      </sheetData>
      <sheetData sheetId="7">
        <row r="47">
          <cell r="J47">
            <v>0.66669999999999996</v>
          </cell>
          <cell r="K47">
            <v>0.66669999999999996</v>
          </cell>
          <cell r="O47">
            <v>0.66669999999999996</v>
          </cell>
        </row>
      </sheetData>
      <sheetData sheetId="8"/>
      <sheetData sheetId="9"/>
      <sheetData sheetId="10"/>
      <sheetData sheetId="11">
        <row r="1">
          <cell r="C1" t="str">
            <v>SKIDMORE-TYNAN ISD</v>
          </cell>
        </row>
        <row r="18">
          <cell r="J18" t="e">
            <v>#N/A</v>
          </cell>
        </row>
        <row r="19">
          <cell r="J19" t="e">
            <v>#N/A</v>
          </cell>
        </row>
        <row r="48">
          <cell r="E48">
            <v>148587289</v>
          </cell>
          <cell r="F48">
            <v>153041656</v>
          </cell>
          <cell r="H48">
            <v>173455210</v>
          </cell>
        </row>
        <row r="49">
          <cell r="E49">
            <v>153448884</v>
          </cell>
          <cell r="F49">
            <v>158097616</v>
          </cell>
          <cell r="H49">
            <v>178573265</v>
          </cell>
        </row>
        <row r="50">
          <cell r="E50">
            <v>148587289</v>
          </cell>
          <cell r="F50">
            <v>153041656</v>
          </cell>
          <cell r="H50">
            <v>173455210</v>
          </cell>
        </row>
        <row r="51">
          <cell r="E51">
            <v>148587289</v>
          </cell>
          <cell r="F51">
            <v>153041656</v>
          </cell>
          <cell r="H51">
            <v>173455210</v>
          </cell>
        </row>
        <row r="52">
          <cell r="E52">
            <v>153448884</v>
          </cell>
          <cell r="F52">
            <v>158097616</v>
          </cell>
          <cell r="H52">
            <v>178573265</v>
          </cell>
        </row>
        <row r="53">
          <cell r="C53">
            <v>157726811</v>
          </cell>
          <cell r="E53">
            <v>153448884</v>
          </cell>
          <cell r="F53">
            <v>158097616</v>
          </cell>
          <cell r="H53">
            <v>178573265</v>
          </cell>
        </row>
        <row r="54">
          <cell r="H54">
            <v>178573265</v>
          </cell>
        </row>
        <row r="55">
          <cell r="H55">
            <v>173455210</v>
          </cell>
        </row>
        <row r="83">
          <cell r="C83">
            <v>25905.180237020071</v>
          </cell>
        </row>
        <row r="108">
          <cell r="C108">
            <v>12</v>
          </cell>
        </row>
        <row r="109">
          <cell r="C109">
            <v>256</v>
          </cell>
        </row>
        <row r="110">
          <cell r="C110">
            <v>0</v>
          </cell>
        </row>
        <row r="111">
          <cell r="C111">
            <v>1.07</v>
          </cell>
        </row>
        <row r="112">
          <cell r="C112">
            <v>1.5</v>
          </cell>
        </row>
        <row r="113">
          <cell r="C113">
            <v>1120.778</v>
          </cell>
        </row>
        <row r="115">
          <cell r="C115">
            <v>77814</v>
          </cell>
        </row>
        <row r="116">
          <cell r="C116">
            <v>0</v>
          </cell>
        </row>
        <row r="117">
          <cell r="C117">
            <v>4852.3881039357184</v>
          </cell>
        </row>
        <row r="118">
          <cell r="C118">
            <v>781.31799999999998</v>
          </cell>
          <cell r="D118">
            <v>784.56500000000005</v>
          </cell>
          <cell r="K118">
            <v>785238</v>
          </cell>
        </row>
        <row r="119">
          <cell r="K119">
            <v>795948</v>
          </cell>
        </row>
        <row r="120">
          <cell r="C120">
            <v>449145</v>
          </cell>
        </row>
        <row r="121">
          <cell r="C121">
            <v>126630</v>
          </cell>
        </row>
        <row r="122">
          <cell r="C122">
            <v>312264</v>
          </cell>
        </row>
        <row r="123">
          <cell r="C123">
            <v>1.17</v>
          </cell>
        </row>
        <row r="126">
          <cell r="C126">
            <v>0</v>
          </cell>
        </row>
        <row r="127">
          <cell r="C127">
            <v>0</v>
          </cell>
        </row>
        <row r="128">
          <cell r="C128">
            <v>0</v>
          </cell>
        </row>
        <row r="129">
          <cell r="C129">
            <v>0</v>
          </cell>
        </row>
      </sheetData>
      <sheetData sheetId="12"/>
      <sheetData sheetId="13">
        <row r="92">
          <cell r="E92">
            <v>1.17</v>
          </cell>
        </row>
      </sheetData>
      <sheetData sheetId="14">
        <row r="37">
          <cell r="M37">
            <v>1.17</v>
          </cell>
        </row>
        <row r="39">
          <cell r="M39">
            <v>0.33879999999999999</v>
          </cell>
        </row>
      </sheetData>
      <sheetData sheetId="15">
        <row r="34">
          <cell r="N34">
            <v>0.31869999999999998</v>
          </cell>
        </row>
      </sheetData>
      <sheetData sheetId="16"/>
      <sheetData sheetId="17"/>
      <sheetData sheetId="18">
        <row r="6">
          <cell r="C6">
            <v>0</v>
          </cell>
          <cell r="E6">
            <v>0</v>
          </cell>
          <cell r="F6">
            <v>0</v>
          </cell>
          <cell r="G6">
            <v>0</v>
          </cell>
          <cell r="H6">
            <v>0</v>
          </cell>
          <cell r="I6">
            <v>0</v>
          </cell>
          <cell r="J6">
            <v>0</v>
          </cell>
        </row>
        <row r="10">
          <cell r="C10">
            <v>0</v>
          </cell>
          <cell r="E10">
            <v>0</v>
          </cell>
          <cell r="F10">
            <v>0</v>
          </cell>
        </row>
        <row r="12">
          <cell r="F12">
            <v>0</v>
          </cell>
          <cell r="G12">
            <v>0</v>
          </cell>
          <cell r="H12">
            <v>0</v>
          </cell>
          <cell r="I12">
            <v>0</v>
          </cell>
          <cell r="J12">
            <v>0</v>
          </cell>
        </row>
        <row r="219">
          <cell r="G219">
            <v>0.91639999999999999</v>
          </cell>
          <cell r="J219">
            <v>0.90300000000000002</v>
          </cell>
          <cell r="L219" t="e">
            <v>#DIV/0!</v>
          </cell>
          <cell r="N219" t="e">
            <v>#DIV/0!</v>
          </cell>
        </row>
      </sheetData>
      <sheetData sheetId="19">
        <row r="25">
          <cell r="N25">
            <v>180410764</v>
          </cell>
        </row>
      </sheetData>
      <sheetData sheetId="20"/>
      <sheetData sheetId="21"/>
      <sheetData sheetId="22"/>
      <sheetData sheetId="23"/>
      <sheetData sheetId="24">
        <row r="15">
          <cell r="E15">
            <v>1.0683</v>
          </cell>
          <cell r="H15">
            <v>1.0547</v>
          </cell>
          <cell r="K15">
            <v>1.0413000000000001</v>
          </cell>
          <cell r="N15" t="e">
            <v>#DIV/0!</v>
          </cell>
          <cell r="Q15" t="e">
            <v>#DIV/0!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zoomScale="60" zoomScaleNormal="60" zoomScalePageLayoutView="50" workbookViewId="0">
      <selection activeCell="N23" sqref="N23"/>
    </sheetView>
  </sheetViews>
  <sheetFormatPr defaultColWidth="9.140625" defaultRowHeight="1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20.140625" style="1" customWidth="1"/>
    <col min="13" max="13" width="12.28515625" style="1" customWidth="1"/>
    <col min="14" max="14" width="13.5703125" style="1" customWidth="1"/>
    <col min="15" max="15" width="13.140625" style="1" customWidth="1"/>
    <col min="16" max="16" width="13.42578125" style="1" customWidth="1"/>
    <col min="17" max="17" width="15.28515625" style="1" customWidth="1"/>
    <col min="19" max="19" width="25.42578125" style="1" customWidth="1"/>
    <col min="20" max="16384" width="9.140625" style="1"/>
  </cols>
  <sheetData>
    <row r="1" spans="1:19">
      <c r="A1" s="56" t="s">
        <v>108</v>
      </c>
      <c r="P1" s="60" t="s">
        <v>111</v>
      </c>
      <c r="Q1" s="59" t="s">
        <v>505</v>
      </c>
    </row>
    <row r="2" spans="1:19" ht="18.75">
      <c r="G2" s="3" t="s">
        <v>105</v>
      </c>
    </row>
    <row r="3" spans="1:19" ht="15.75">
      <c r="G3" s="2" t="s">
        <v>0</v>
      </c>
      <c r="I3" s="4"/>
      <c r="N3" s="55"/>
      <c r="O3" s="50"/>
      <c r="P3" s="50"/>
    </row>
    <row r="4" spans="1:19">
      <c r="G4" s="5" t="s">
        <v>1</v>
      </c>
      <c r="H4" s="58">
        <f>'4D 773b 2020'!G3</f>
        <v>1177</v>
      </c>
      <c r="I4" s="7"/>
      <c r="J4" s="53"/>
    </row>
    <row r="5" spans="1:19">
      <c r="G5" s="8" t="s">
        <v>2</v>
      </c>
      <c r="H5" s="75" t="str">
        <f>'4D 773b 2020'!G4</f>
        <v>[Wind] Renewable Energy Electric Generation</v>
      </c>
      <c r="I5" s="9"/>
    </row>
    <row r="6" spans="1:19">
      <c r="G6" s="10" t="s">
        <v>3</v>
      </c>
      <c r="H6" s="75" t="str">
        <f>'4D 773b 2020'!G5</f>
        <v>Skidmore-Tynan ISD</v>
      </c>
      <c r="I6" s="9"/>
    </row>
    <row r="7" spans="1:19">
      <c r="G7" s="10" t="s">
        <v>4</v>
      </c>
      <c r="H7" s="75" t="str">
        <f>'4D 773b 2020'!G6</f>
        <v>Karankawa Wind, LLC</v>
      </c>
      <c r="I7" s="9"/>
    </row>
    <row r="8" spans="1:19">
      <c r="G8" s="10" t="s">
        <v>99</v>
      </c>
      <c r="H8" s="470">
        <f>'4D 773b 2020'!G7</f>
        <v>20000000</v>
      </c>
      <c r="I8" s="9"/>
    </row>
    <row r="9" spans="1:19">
      <c r="G9" s="10" t="s">
        <v>113</v>
      </c>
      <c r="H9" s="471" t="s">
        <v>509</v>
      </c>
      <c r="I9" s="7"/>
    </row>
    <row r="10" spans="1:19">
      <c r="G10" s="10" t="s">
        <v>5</v>
      </c>
      <c r="H10" s="6">
        <f>'4D 773b 2020'!G8</f>
        <v>2018</v>
      </c>
      <c r="I10" s="7"/>
      <c r="O10" s="1" t="s">
        <v>6</v>
      </c>
    </row>
    <row r="11" spans="1:19">
      <c r="G11" s="10" t="s">
        <v>7</v>
      </c>
      <c r="H11" s="6">
        <f>'4D 773b 2020'!G9</f>
        <v>2020</v>
      </c>
    </row>
    <row r="12" spans="1:19">
      <c r="A12" s="27"/>
      <c r="G12" s="11" t="s">
        <v>8</v>
      </c>
      <c r="H12" s="6">
        <f>'4D 773b 2020'!G10</f>
        <v>2018</v>
      </c>
      <c r="I12" s="1" t="s">
        <v>9</v>
      </c>
    </row>
    <row r="13" spans="1:19">
      <c r="G13" s="11" t="s">
        <v>10</v>
      </c>
      <c r="H13" s="6">
        <f>'4D 773b 2020'!G11</f>
        <v>2034</v>
      </c>
      <c r="I13" s="1" t="s">
        <v>11</v>
      </c>
    </row>
    <row r="15" spans="1:19" s="16" customFormat="1" ht="83.25" customHeight="1">
      <c r="B15" s="12" t="s">
        <v>12</v>
      </c>
      <c r="C15" s="12" t="s">
        <v>13</v>
      </c>
      <c r="D15" s="13" t="s">
        <v>14</v>
      </c>
      <c r="E15" s="14" t="s">
        <v>15</v>
      </c>
      <c r="F15" s="12" t="s">
        <v>16</v>
      </c>
      <c r="G15" s="12" t="s">
        <v>17</v>
      </c>
      <c r="H15" s="15" t="s">
        <v>18</v>
      </c>
      <c r="I15" s="15" t="s">
        <v>19</v>
      </c>
      <c r="J15" s="14" t="s">
        <v>20</v>
      </c>
      <c r="K15" s="14" t="s">
        <v>21</v>
      </c>
      <c r="L15" s="14" t="s">
        <v>22</v>
      </c>
      <c r="M15" s="14" t="s">
        <v>23</v>
      </c>
      <c r="N15" s="14" t="s">
        <v>24</v>
      </c>
      <c r="O15" s="14" t="s">
        <v>25</v>
      </c>
      <c r="P15" s="14" t="s">
        <v>26</v>
      </c>
      <c r="Q15" s="14" t="s">
        <v>27</v>
      </c>
      <c r="S15" s="17"/>
    </row>
    <row r="16" spans="1:19">
      <c r="B16" s="18"/>
      <c r="C16" s="19"/>
      <c r="D16" s="19">
        <v>2013</v>
      </c>
      <c r="E16" s="19" t="s">
        <v>28</v>
      </c>
      <c r="F16" s="51"/>
      <c r="G16" s="51"/>
      <c r="H16" s="51"/>
      <c r="I16" s="51"/>
      <c r="J16" s="472"/>
      <c r="K16" s="472"/>
      <c r="L16" s="51"/>
      <c r="M16" s="51"/>
      <c r="N16" s="51"/>
      <c r="O16" s="51"/>
      <c r="P16" s="51"/>
      <c r="Q16" s="51">
        <v>0</v>
      </c>
    </row>
    <row r="17" spans="2:17" ht="15.75" customHeight="1">
      <c r="B17" s="18"/>
      <c r="C17" s="19"/>
      <c r="D17" s="19">
        <v>2014</v>
      </c>
      <c r="E17" s="19" t="s">
        <v>29</v>
      </c>
      <c r="F17" s="51"/>
      <c r="G17" s="51"/>
      <c r="H17" s="51"/>
      <c r="I17" s="51"/>
      <c r="J17" s="472"/>
      <c r="K17" s="472"/>
      <c r="L17" s="51"/>
      <c r="M17" s="51"/>
      <c r="N17" s="51"/>
      <c r="O17" s="51"/>
      <c r="P17" s="51"/>
      <c r="Q17" s="51">
        <v>0</v>
      </c>
    </row>
    <row r="18" spans="2:17">
      <c r="B18" s="18"/>
      <c r="C18" s="19"/>
      <c r="D18" s="19">
        <v>2015</v>
      </c>
      <c r="E18" s="19" t="s">
        <v>30</v>
      </c>
      <c r="F18" s="51"/>
      <c r="G18" s="51"/>
      <c r="H18" s="51"/>
      <c r="I18" s="51"/>
      <c r="J18" s="472"/>
      <c r="K18" s="472"/>
      <c r="L18" s="51"/>
      <c r="M18" s="51"/>
      <c r="N18" s="51"/>
      <c r="O18" s="51"/>
      <c r="P18" s="51"/>
      <c r="Q18" s="51">
        <v>0</v>
      </c>
    </row>
    <row r="19" spans="2:17">
      <c r="B19" s="21"/>
      <c r="C19" s="19"/>
      <c r="D19" s="19">
        <v>2016</v>
      </c>
      <c r="E19" s="19" t="s">
        <v>32</v>
      </c>
      <c r="F19" s="51"/>
      <c r="G19" s="51"/>
      <c r="H19" s="51"/>
      <c r="I19" s="51"/>
      <c r="J19" s="472"/>
      <c r="K19" s="472"/>
      <c r="L19" s="51"/>
      <c r="M19" s="51"/>
      <c r="N19" s="51"/>
      <c r="O19" s="51"/>
      <c r="P19" s="51"/>
      <c r="Q19" s="51">
        <v>0</v>
      </c>
    </row>
    <row r="20" spans="2:17">
      <c r="B20" s="22"/>
      <c r="C20" s="19"/>
      <c r="D20" s="19">
        <v>2017</v>
      </c>
      <c r="E20" s="19" t="s">
        <v>34</v>
      </c>
      <c r="F20" s="51"/>
      <c r="G20" s="51"/>
      <c r="H20" s="51"/>
      <c r="I20" s="51"/>
      <c r="J20" s="472"/>
      <c r="K20" s="472"/>
      <c r="L20" s="51"/>
      <c r="M20" s="51"/>
      <c r="N20" s="51"/>
      <c r="O20" s="51"/>
      <c r="P20" s="51"/>
      <c r="Q20" s="51">
        <v>77800</v>
      </c>
    </row>
    <row r="21" spans="2:17">
      <c r="B21" s="73" t="s">
        <v>31</v>
      </c>
      <c r="C21" s="62"/>
      <c r="D21" s="19">
        <v>2018</v>
      </c>
      <c r="E21" s="19" t="s">
        <v>35</v>
      </c>
      <c r="F21" s="51">
        <f>'4D 773b 2020'!G22</f>
        <v>39524815</v>
      </c>
      <c r="G21" s="51">
        <f>'4D 773b 2020'!H22</f>
        <v>0</v>
      </c>
      <c r="H21" s="51">
        <f>'4D 773b 2020'!I22</f>
        <v>0</v>
      </c>
      <c r="I21" s="51">
        <f>'4D 773b 2020'!J22</f>
        <v>0</v>
      </c>
      <c r="J21" s="472">
        <f>'Release 16 SOF Data Entry'!E100</f>
        <v>0.33879999999999999</v>
      </c>
      <c r="K21" s="472">
        <f>'Release 16 SOF Data Entry'!E92</f>
        <v>1.17</v>
      </c>
      <c r="L21" s="51">
        <f t="shared" ref="L16:L21" si="0">((H21/100)*J21)+((H21/100)*K21)</f>
        <v>0</v>
      </c>
      <c r="M21" s="51">
        <f t="shared" ref="M17:M45" si="1">((H21/100)*J21)+((I21/100)*K21)</f>
        <v>0</v>
      </c>
      <c r="N21" s="51">
        <f t="shared" ref="N17:N45" si="2">L21-M21</f>
        <v>0</v>
      </c>
      <c r="O21" s="51">
        <f>'RPP Calculation'!H8</f>
        <v>0</v>
      </c>
      <c r="P21" s="51">
        <v>0</v>
      </c>
      <c r="Q21" s="51">
        <v>77800</v>
      </c>
    </row>
    <row r="22" spans="2:17">
      <c r="B22" s="73" t="s">
        <v>33</v>
      </c>
      <c r="C22" s="73"/>
      <c r="D22" s="19">
        <v>2019</v>
      </c>
      <c r="E22" s="19" t="s">
        <v>37</v>
      </c>
      <c r="F22" s="51">
        <f>'4D 773b 2020'!G23</f>
        <v>192666316</v>
      </c>
      <c r="G22" s="51">
        <f>'4D 773b 2020'!H23</f>
        <v>443800</v>
      </c>
      <c r="H22" s="51">
        <f>'4D 773b 2020'!I23</f>
        <v>443800</v>
      </c>
      <c r="I22" s="51">
        <v>443800</v>
      </c>
      <c r="J22" s="472">
        <f>'Release 16 SOF Data Entry'!K100</f>
        <v>0.31869999999999998</v>
      </c>
      <c r="K22" s="472">
        <f>'Release 16 SOF Data Entry'!K95</f>
        <v>1.0683</v>
      </c>
      <c r="L22" s="51">
        <f>((H22/100)*J22)+((H22/100)*K22)</f>
        <v>6155.5059999999994</v>
      </c>
      <c r="M22" s="51">
        <f t="shared" si="1"/>
        <v>6155.5059999999994</v>
      </c>
      <c r="N22" s="51">
        <f t="shared" si="2"/>
        <v>0</v>
      </c>
      <c r="O22" s="51">
        <v>0</v>
      </c>
      <c r="P22" s="51">
        <v>0</v>
      </c>
      <c r="Q22" s="51">
        <v>77800</v>
      </c>
    </row>
    <row r="23" spans="2:17">
      <c r="B23" s="73"/>
      <c r="C23" s="73" t="s">
        <v>36</v>
      </c>
      <c r="D23" s="19">
        <v>2020</v>
      </c>
      <c r="E23" s="19" t="s">
        <v>39</v>
      </c>
      <c r="F23" s="463">
        <f>'4D 773b 2020'!G24</f>
        <v>192666316</v>
      </c>
      <c r="G23" s="463">
        <f>'4D 773b 2020'!H24</f>
        <v>169621380</v>
      </c>
      <c r="H23" s="463">
        <f>'4D 773b 2020'!I24</f>
        <v>169621380</v>
      </c>
      <c r="I23" s="463">
        <f>'4D 773b 2020'!J24</f>
        <v>20000000</v>
      </c>
      <c r="J23" s="473">
        <f>'Release 16 SOF Data Entry'!M100</f>
        <v>0.4352500829717677</v>
      </c>
      <c r="K23" s="473">
        <f>'Release 16 SOF Data Entry'!M95</f>
        <v>1.0547</v>
      </c>
      <c r="L23" s="463">
        <f t="shared" ref="L23:L45" si="3">((H23/100)*J23)+((H23/100)*K23)</f>
        <v>2527273.8920478574</v>
      </c>
      <c r="M23" s="463">
        <f t="shared" si="1"/>
        <v>949217.19718785735</v>
      </c>
      <c r="N23" s="463">
        <f t="shared" si="2"/>
        <v>1578056.6948600002</v>
      </c>
      <c r="O23" s="52">
        <v>1578057</v>
      </c>
      <c r="P23" s="463">
        <v>0</v>
      </c>
      <c r="Q23" s="52">
        <v>0</v>
      </c>
    </row>
    <row r="24" spans="2:17">
      <c r="B24" s="73"/>
      <c r="C24" s="73" t="s">
        <v>38</v>
      </c>
      <c r="D24" s="19">
        <v>2021</v>
      </c>
      <c r="E24" s="19" t="s">
        <v>41</v>
      </c>
      <c r="F24" s="463">
        <f>'4D 773b 2020'!G25</f>
        <v>192666316</v>
      </c>
      <c r="G24" s="463">
        <f>'4D 773b 2020'!H25</f>
        <v>161140000</v>
      </c>
      <c r="H24" s="463">
        <f>'4D 773b 2020'!I25</f>
        <v>161140000</v>
      </c>
      <c r="I24" s="463">
        <f>'4D 773b 2020'!J25</f>
        <v>20000000</v>
      </c>
      <c r="J24" s="473">
        <f>J23</f>
        <v>0.4352500829717677</v>
      </c>
      <c r="K24" s="473">
        <f>K23</f>
        <v>1.0547</v>
      </c>
      <c r="L24" s="463">
        <f t="shared" si="3"/>
        <v>2400905.5637007062</v>
      </c>
      <c r="M24" s="463">
        <f t="shared" si="1"/>
        <v>912301.98370070651</v>
      </c>
      <c r="N24" s="463">
        <f t="shared" si="2"/>
        <v>1488603.5799999996</v>
      </c>
      <c r="O24" s="52">
        <f>'RPP Calculation'!H11</f>
        <v>0</v>
      </c>
      <c r="P24" s="463">
        <v>0</v>
      </c>
      <c r="Q24" s="52">
        <v>155600</v>
      </c>
    </row>
    <row r="25" spans="2:17">
      <c r="B25" s="73"/>
      <c r="C25" s="73" t="s">
        <v>40</v>
      </c>
      <c r="D25" s="19">
        <v>2022</v>
      </c>
      <c r="E25" s="19" t="s">
        <v>43</v>
      </c>
      <c r="F25" s="463">
        <f>'4D 773b 2020'!G26</f>
        <v>192666316</v>
      </c>
      <c r="G25" s="463">
        <f>'4D 773b 2020'!H26</f>
        <v>153083000</v>
      </c>
      <c r="H25" s="463">
        <f>'4D 773b 2020'!I26</f>
        <v>153083000</v>
      </c>
      <c r="I25" s="463">
        <f>'4D 773b 2020'!J26</f>
        <v>20000000</v>
      </c>
      <c r="J25" s="473">
        <f t="shared" ref="J25:J45" si="4">J24</f>
        <v>0.4352500829717677</v>
      </c>
      <c r="K25" s="473">
        <f t="shared" ref="K25:K45" si="5">K24</f>
        <v>1.0547</v>
      </c>
      <c r="L25" s="463">
        <f t="shared" si="3"/>
        <v>2280860.2855156711</v>
      </c>
      <c r="M25" s="463">
        <f t="shared" si="1"/>
        <v>877233.88451567118</v>
      </c>
      <c r="N25" s="463">
        <f t="shared" si="2"/>
        <v>1403626.4010000001</v>
      </c>
      <c r="O25" s="52">
        <f>'RPP Calculation'!H12</f>
        <v>0</v>
      </c>
      <c r="P25" s="463">
        <v>0</v>
      </c>
      <c r="Q25" s="52">
        <v>77800</v>
      </c>
    </row>
    <row r="26" spans="2:17">
      <c r="B26" s="73"/>
      <c r="C26" s="73" t="s">
        <v>42</v>
      </c>
      <c r="D26" s="19">
        <v>2023</v>
      </c>
      <c r="E26" s="19" t="s">
        <v>45</v>
      </c>
      <c r="F26" s="463">
        <f>'4D 773b 2020'!G27</f>
        <v>192666316</v>
      </c>
      <c r="G26" s="463">
        <f>'4D 773b 2020'!H27</f>
        <v>142367000</v>
      </c>
      <c r="H26" s="463">
        <f>'4D 773b 2020'!I27</f>
        <v>142367000</v>
      </c>
      <c r="I26" s="463">
        <f>'4D 773b 2020'!J27</f>
        <v>20000000</v>
      </c>
      <c r="J26" s="473">
        <f t="shared" si="4"/>
        <v>0.4352500829717677</v>
      </c>
      <c r="K26" s="473">
        <f t="shared" si="5"/>
        <v>1.0547</v>
      </c>
      <c r="L26" s="463">
        <f t="shared" si="3"/>
        <v>2121197.2346244166</v>
      </c>
      <c r="M26" s="463">
        <f t="shared" si="1"/>
        <v>830592.4856244165</v>
      </c>
      <c r="N26" s="463">
        <f t="shared" si="2"/>
        <v>1290604.7490000001</v>
      </c>
      <c r="O26" s="52">
        <f>'RPP Calculation'!H13</f>
        <v>0</v>
      </c>
      <c r="P26" s="463">
        <v>0</v>
      </c>
      <c r="Q26" s="52">
        <v>77800</v>
      </c>
    </row>
    <row r="27" spans="2:17">
      <c r="B27" s="73"/>
      <c r="C27" s="73" t="s">
        <v>44</v>
      </c>
      <c r="D27" s="19">
        <v>2024</v>
      </c>
      <c r="E27" s="19" t="s">
        <v>47</v>
      </c>
      <c r="F27" s="463">
        <f>'4D 773b 2020'!G28</f>
        <v>192666316</v>
      </c>
      <c r="G27" s="463">
        <f>'4D 773b 2020'!H28</f>
        <v>132402000</v>
      </c>
      <c r="H27" s="463">
        <f>'4D 773b 2020'!I28</f>
        <v>132402000</v>
      </c>
      <c r="I27" s="463">
        <f>'4D 773b 2020'!J28</f>
        <v>20000000</v>
      </c>
      <c r="J27" s="473">
        <f t="shared" si="4"/>
        <v>0.4352500829717677</v>
      </c>
      <c r="K27" s="473">
        <f t="shared" si="5"/>
        <v>1.0547</v>
      </c>
      <c r="L27" s="463">
        <f t="shared" si="3"/>
        <v>1972723.7088562797</v>
      </c>
      <c r="M27" s="463">
        <f t="shared" si="1"/>
        <v>787219.81485627987</v>
      </c>
      <c r="N27" s="463">
        <f t="shared" si="2"/>
        <v>1185503.8939999999</v>
      </c>
      <c r="O27" s="52">
        <f>'RPP Calculation'!H14</f>
        <v>0</v>
      </c>
      <c r="P27" s="463">
        <v>0</v>
      </c>
      <c r="Q27" s="52">
        <v>77800</v>
      </c>
    </row>
    <row r="28" spans="2:17">
      <c r="B28" s="73"/>
      <c r="C28" s="73" t="s">
        <v>46</v>
      </c>
      <c r="D28" s="19">
        <v>2025</v>
      </c>
      <c r="E28" s="19" t="s">
        <v>49</v>
      </c>
      <c r="F28" s="463">
        <f>'4D 773b 2020'!G29</f>
        <v>192666316</v>
      </c>
      <c r="G28" s="463">
        <f>'4D 773b 2020'!H29</f>
        <v>123134000</v>
      </c>
      <c r="H28" s="463">
        <f>'4D 773b 2020'!I29</f>
        <v>123134000</v>
      </c>
      <c r="I28" s="463">
        <f>'4D 773b 2020'!J29</f>
        <v>20000000</v>
      </c>
      <c r="J28" s="473">
        <f t="shared" si="4"/>
        <v>0.4352500829717677</v>
      </c>
      <c r="K28" s="473">
        <f t="shared" si="5"/>
        <v>1.0547</v>
      </c>
      <c r="L28" s="463">
        <f t="shared" si="3"/>
        <v>1834635.1351664565</v>
      </c>
      <c r="M28" s="463">
        <f t="shared" si="1"/>
        <v>746880.83716645639</v>
      </c>
      <c r="N28" s="463">
        <f t="shared" si="2"/>
        <v>1087754.298</v>
      </c>
      <c r="O28" s="52">
        <f>'RPP Calculation'!H15</f>
        <v>0</v>
      </c>
      <c r="P28" s="463">
        <v>0</v>
      </c>
      <c r="Q28" s="52">
        <v>77800</v>
      </c>
    </row>
    <row r="29" spans="2:17">
      <c r="B29" s="73"/>
      <c r="C29" s="73" t="s">
        <v>48</v>
      </c>
      <c r="D29" s="19">
        <v>2026</v>
      </c>
      <c r="E29" s="19" t="s">
        <v>51</v>
      </c>
      <c r="F29" s="463">
        <f>'4D 773b 2020'!G30</f>
        <v>192666316</v>
      </c>
      <c r="G29" s="463">
        <f>'4D 773b 2020'!H30</f>
        <v>114514000</v>
      </c>
      <c r="H29" s="463">
        <f>'4D 773b 2020'!I30</f>
        <v>114514000</v>
      </c>
      <c r="I29" s="463">
        <f>'4D 773b 2020'!J30</f>
        <v>20000000</v>
      </c>
      <c r="J29" s="473">
        <f t="shared" si="4"/>
        <v>0.4352500829717677</v>
      </c>
      <c r="K29" s="473">
        <f t="shared" si="5"/>
        <v>1.0547</v>
      </c>
      <c r="L29" s="463">
        <f t="shared" si="3"/>
        <v>1706201.4380142901</v>
      </c>
      <c r="M29" s="463">
        <f t="shared" si="1"/>
        <v>709362.28001429001</v>
      </c>
      <c r="N29" s="463">
        <f t="shared" si="2"/>
        <v>996839.15800000005</v>
      </c>
      <c r="O29" s="52">
        <f>'RPP Calculation'!H16</f>
        <v>0</v>
      </c>
      <c r="P29" s="463">
        <v>0</v>
      </c>
      <c r="Q29" s="52">
        <v>77800</v>
      </c>
    </row>
    <row r="30" spans="2:17">
      <c r="B30" s="73"/>
      <c r="C30" s="73" t="s">
        <v>50</v>
      </c>
      <c r="D30" s="19">
        <v>2027</v>
      </c>
      <c r="E30" s="19" t="s">
        <v>53</v>
      </c>
      <c r="F30" s="463">
        <f>'4D 773b 2020'!G31</f>
        <v>192666316</v>
      </c>
      <c r="G30" s="463">
        <f>'4D 773b 2020'!H31</f>
        <v>106498000</v>
      </c>
      <c r="H30" s="463">
        <f>'4D 773b 2020'!I31</f>
        <v>106498000</v>
      </c>
      <c r="I30" s="463">
        <f>'4D 773b 2020'!J31</f>
        <v>20000000</v>
      </c>
      <c r="J30" s="473">
        <f t="shared" si="4"/>
        <v>0.4352500829717677</v>
      </c>
      <c r="K30" s="473">
        <f t="shared" si="5"/>
        <v>1.0547</v>
      </c>
      <c r="L30" s="463">
        <f t="shared" si="3"/>
        <v>1586767.0393632732</v>
      </c>
      <c r="M30" s="463">
        <f t="shared" si="1"/>
        <v>674472.63336327323</v>
      </c>
      <c r="N30" s="463">
        <f t="shared" si="2"/>
        <v>912294.40599999996</v>
      </c>
      <c r="O30" s="52">
        <f>'RPP Calculation'!H17</f>
        <v>0</v>
      </c>
      <c r="P30" s="463">
        <v>0</v>
      </c>
      <c r="Q30" s="52">
        <v>77800</v>
      </c>
    </row>
    <row r="31" spans="2:17">
      <c r="B31" s="73"/>
      <c r="C31" s="73" t="s">
        <v>52</v>
      </c>
      <c r="D31" s="19">
        <v>2028</v>
      </c>
      <c r="E31" s="19" t="s">
        <v>55</v>
      </c>
      <c r="F31" s="463">
        <f>'4D 773b 2020'!G32</f>
        <v>192666316</v>
      </c>
      <c r="G31" s="463">
        <f>'4D 773b 2020'!H32</f>
        <v>99043000</v>
      </c>
      <c r="H31" s="463">
        <f>'4D 773b 2020'!I32</f>
        <v>99043000</v>
      </c>
      <c r="I31" s="463">
        <f>'4D 773b 2020'!J32</f>
        <v>20000000</v>
      </c>
      <c r="J31" s="473">
        <f t="shared" si="4"/>
        <v>0.4352500829717677</v>
      </c>
      <c r="K31" s="473">
        <f t="shared" si="5"/>
        <v>1.0547</v>
      </c>
      <c r="L31" s="463">
        <f t="shared" si="3"/>
        <v>1475691.2606777279</v>
      </c>
      <c r="M31" s="463">
        <f t="shared" si="1"/>
        <v>642024.73967772792</v>
      </c>
      <c r="N31" s="463">
        <f t="shared" si="2"/>
        <v>833666.52099999995</v>
      </c>
      <c r="O31" s="52">
        <f>'RPP Calculation'!H18</f>
        <v>0</v>
      </c>
      <c r="P31" s="463">
        <v>0</v>
      </c>
      <c r="Q31" s="52">
        <v>77800</v>
      </c>
    </row>
    <row r="32" spans="2:17">
      <c r="B32" s="73"/>
      <c r="C32" s="73" t="s">
        <v>54</v>
      </c>
      <c r="D32" s="19">
        <v>2029</v>
      </c>
      <c r="E32" s="19" t="s">
        <v>57</v>
      </c>
      <c r="F32" s="463">
        <f>'4D 773b 2020'!G33</f>
        <v>192666316</v>
      </c>
      <c r="G32" s="463">
        <f>'4D 773b 2020'!H33</f>
        <v>92110000</v>
      </c>
      <c r="H32" s="463">
        <f>'4D 773b 2020'!I33</f>
        <v>92110000</v>
      </c>
      <c r="I32" s="463">
        <f>'4D 773b 2020'!J33</f>
        <v>20000000</v>
      </c>
      <c r="J32" s="473">
        <f t="shared" si="4"/>
        <v>0.4352500829717677</v>
      </c>
      <c r="K32" s="473">
        <f t="shared" si="5"/>
        <v>1.0547</v>
      </c>
      <c r="L32" s="463">
        <f t="shared" si="3"/>
        <v>1372393.0214252952</v>
      </c>
      <c r="M32" s="463">
        <f t="shared" si="1"/>
        <v>611848.85142529523</v>
      </c>
      <c r="N32" s="463">
        <f t="shared" si="2"/>
        <v>760544.16999999993</v>
      </c>
      <c r="O32" s="52">
        <f>'RPP Calculation'!H19</f>
        <v>0</v>
      </c>
      <c r="P32" s="463">
        <v>0</v>
      </c>
      <c r="Q32" s="52">
        <v>77800</v>
      </c>
    </row>
    <row r="33" spans="2:17">
      <c r="B33" s="73"/>
      <c r="C33" s="73" t="s">
        <v>56</v>
      </c>
      <c r="D33" s="19">
        <v>2030</v>
      </c>
      <c r="E33" s="19" t="s">
        <v>59</v>
      </c>
      <c r="F33" s="463">
        <f>'4D 773b 2020'!G34</f>
        <v>192666316</v>
      </c>
      <c r="G33" s="463">
        <f>'4D 773b 2020'!H34</f>
        <v>82899000</v>
      </c>
      <c r="H33" s="463">
        <f>'4D 773b 2020'!I34</f>
        <v>82899000</v>
      </c>
      <c r="I33" s="463">
        <f>'4D 773b 2020'!J34</f>
        <v>82899000</v>
      </c>
      <c r="J33" s="473">
        <f t="shared" si="4"/>
        <v>0.4352500829717677</v>
      </c>
      <c r="K33" s="473">
        <f t="shared" si="5"/>
        <v>1.0547</v>
      </c>
      <c r="L33" s="463">
        <f t="shared" si="3"/>
        <v>1235153.7192827659</v>
      </c>
      <c r="M33" s="463">
        <f t="shared" si="1"/>
        <v>1235153.7192827659</v>
      </c>
      <c r="N33" s="463">
        <f t="shared" si="2"/>
        <v>0</v>
      </c>
      <c r="O33" s="52">
        <f>'RPP Calculation'!H20</f>
        <v>0</v>
      </c>
      <c r="P33" s="463">
        <v>0</v>
      </c>
      <c r="Q33" s="52">
        <v>77800</v>
      </c>
    </row>
    <row r="34" spans="2:17">
      <c r="B34" s="73"/>
      <c r="C34" s="73" t="s">
        <v>58</v>
      </c>
      <c r="D34" s="19">
        <v>2031</v>
      </c>
      <c r="E34" s="19" t="s">
        <v>61</v>
      </c>
      <c r="F34" s="463">
        <f>'4D 773b 2020'!G35</f>
        <v>192666316</v>
      </c>
      <c r="G34" s="463">
        <f>'4D 773b 2020'!H35</f>
        <v>74609000</v>
      </c>
      <c r="H34" s="463">
        <f>'4D 773b 2020'!I35</f>
        <v>74609000</v>
      </c>
      <c r="I34" s="463">
        <f>'4D 773b 2020'!J35</f>
        <v>74609000</v>
      </c>
      <c r="J34" s="473">
        <f t="shared" si="4"/>
        <v>0.4352500829717677</v>
      </c>
      <c r="K34" s="473">
        <f t="shared" si="5"/>
        <v>1.0547</v>
      </c>
      <c r="L34" s="463">
        <f t="shared" si="3"/>
        <v>1111636.8574044062</v>
      </c>
      <c r="M34" s="463">
        <f t="shared" si="1"/>
        <v>1111636.8574044062</v>
      </c>
      <c r="N34" s="463">
        <f t="shared" si="2"/>
        <v>0</v>
      </c>
      <c r="O34" s="52">
        <f>'RPP Calculation'!H21</f>
        <v>0</v>
      </c>
      <c r="P34" s="463">
        <v>0</v>
      </c>
      <c r="Q34" s="52">
        <v>77800</v>
      </c>
    </row>
    <row r="35" spans="2:17">
      <c r="B35" s="73"/>
      <c r="C35" s="73" t="s">
        <v>60</v>
      </c>
      <c r="D35" s="19">
        <v>2032</v>
      </c>
      <c r="E35" s="19" t="s">
        <v>63</v>
      </c>
      <c r="F35" s="463">
        <f>'4D 773b 2020'!G36</f>
        <v>192666316</v>
      </c>
      <c r="G35" s="463">
        <f>'4D 773b 2020'!H36</f>
        <v>67148000</v>
      </c>
      <c r="H35" s="463">
        <f>'4D 773b 2020'!I36</f>
        <v>67148000</v>
      </c>
      <c r="I35" s="463">
        <f>'4D 773b 2020'!J36</f>
        <v>67148000</v>
      </c>
      <c r="J35" s="473">
        <f t="shared" si="4"/>
        <v>0.4352500829717677</v>
      </c>
      <c r="K35" s="473">
        <f t="shared" si="5"/>
        <v>1.0547</v>
      </c>
      <c r="L35" s="463">
        <f t="shared" si="3"/>
        <v>1000471.6817138826</v>
      </c>
      <c r="M35" s="463">
        <f t="shared" si="1"/>
        <v>1000471.6817138826</v>
      </c>
      <c r="N35" s="463">
        <f t="shared" si="2"/>
        <v>0</v>
      </c>
      <c r="O35" s="52">
        <f>'RPP Calculation'!H22</f>
        <v>0</v>
      </c>
      <c r="P35" s="463">
        <v>0</v>
      </c>
      <c r="Q35" s="52">
        <v>77800</v>
      </c>
    </row>
    <row r="36" spans="2:17">
      <c r="B36" s="73"/>
      <c r="C36" s="73" t="s">
        <v>62</v>
      </c>
      <c r="D36" s="19">
        <v>2033</v>
      </c>
      <c r="E36" s="19" t="s">
        <v>65</v>
      </c>
      <c r="F36" s="463">
        <f>'4D 773b 2020'!G37</f>
        <v>192666316</v>
      </c>
      <c r="G36" s="463">
        <f>'4D 773b 2020'!H37</f>
        <v>60433000</v>
      </c>
      <c r="H36" s="463">
        <f>'4D 773b 2020'!I37</f>
        <v>60433000</v>
      </c>
      <c r="I36" s="463">
        <f>'4D 773b 2020'!J37</f>
        <v>60433000</v>
      </c>
      <c r="J36" s="473">
        <f t="shared" si="4"/>
        <v>0.4352500829717677</v>
      </c>
      <c r="K36" s="473">
        <f t="shared" si="5"/>
        <v>1.0547</v>
      </c>
      <c r="L36" s="463">
        <f t="shared" si="3"/>
        <v>900421.53364232834</v>
      </c>
      <c r="M36" s="463">
        <f t="shared" si="1"/>
        <v>900421.53364232834</v>
      </c>
      <c r="N36" s="463">
        <f t="shared" si="2"/>
        <v>0</v>
      </c>
      <c r="O36" s="52">
        <f>'RPP Calculation'!H23</f>
        <v>0</v>
      </c>
      <c r="P36" s="463">
        <v>0</v>
      </c>
      <c r="Q36" s="52">
        <v>0</v>
      </c>
    </row>
    <row r="37" spans="2:17">
      <c r="B37" s="73"/>
      <c r="C37" s="73" t="s">
        <v>64</v>
      </c>
      <c r="D37" s="19">
        <v>2034</v>
      </c>
      <c r="E37" s="19" t="s">
        <v>66</v>
      </c>
      <c r="F37" s="463">
        <f>'4D 773b 2020'!G38</f>
        <v>192666316</v>
      </c>
      <c r="G37" s="463">
        <f>'4D 773b 2020'!H38</f>
        <v>54390000</v>
      </c>
      <c r="H37" s="463">
        <f>'4D 773b 2020'!I38</f>
        <v>54390000</v>
      </c>
      <c r="I37" s="463">
        <f>'4D 773b 2020'!J38</f>
        <v>54390000</v>
      </c>
      <c r="J37" s="473">
        <f t="shared" si="4"/>
        <v>0.4352500829717677</v>
      </c>
      <c r="K37" s="473">
        <f t="shared" si="5"/>
        <v>1.0547</v>
      </c>
      <c r="L37" s="463">
        <f t="shared" si="3"/>
        <v>810383.85012834438</v>
      </c>
      <c r="M37" s="463">
        <f t="shared" si="1"/>
        <v>810383.85012834438</v>
      </c>
      <c r="N37" s="463">
        <f t="shared" si="2"/>
        <v>0</v>
      </c>
      <c r="O37" s="52">
        <f>'RPP Calculation'!H24</f>
        <v>0</v>
      </c>
      <c r="P37" s="463">
        <v>0</v>
      </c>
      <c r="Q37" s="52">
        <v>0</v>
      </c>
    </row>
    <row r="38" spans="2:17">
      <c r="B38" s="18"/>
      <c r="C38" s="19"/>
      <c r="D38" s="19">
        <v>2035</v>
      </c>
      <c r="E38" s="19" t="s">
        <v>67</v>
      </c>
      <c r="F38" s="463"/>
      <c r="G38" s="463"/>
      <c r="H38" s="463"/>
      <c r="I38" s="463"/>
      <c r="J38" s="473"/>
      <c r="K38" s="473"/>
      <c r="L38" s="463"/>
      <c r="M38" s="463"/>
      <c r="N38" s="463"/>
      <c r="O38" s="52"/>
      <c r="P38" s="463"/>
      <c r="Q38" s="52"/>
    </row>
    <row r="39" spans="2:17">
      <c r="B39" s="18"/>
      <c r="C39" s="19"/>
      <c r="D39" s="19">
        <v>2036</v>
      </c>
      <c r="E39" s="19" t="s">
        <v>68</v>
      </c>
      <c r="F39" s="463"/>
      <c r="G39" s="463"/>
      <c r="H39" s="463"/>
      <c r="I39" s="463"/>
      <c r="J39" s="473"/>
      <c r="K39" s="473"/>
      <c r="L39" s="463"/>
      <c r="M39" s="463"/>
      <c r="N39" s="463"/>
      <c r="O39" s="52"/>
      <c r="P39" s="463"/>
      <c r="Q39" s="52"/>
    </row>
    <row r="40" spans="2:17">
      <c r="B40" s="18"/>
      <c r="C40" s="19"/>
      <c r="D40" s="19">
        <v>2037</v>
      </c>
      <c r="E40" s="19" t="s">
        <v>69</v>
      </c>
      <c r="F40" s="463"/>
      <c r="G40" s="463"/>
      <c r="H40" s="463"/>
      <c r="I40" s="463"/>
      <c r="J40" s="473"/>
      <c r="K40" s="473"/>
      <c r="L40" s="463"/>
      <c r="M40" s="463"/>
      <c r="N40" s="463"/>
      <c r="O40" s="52"/>
      <c r="P40" s="463"/>
      <c r="Q40" s="52"/>
    </row>
    <row r="41" spans="2:17">
      <c r="B41" s="18"/>
      <c r="C41" s="19"/>
      <c r="D41" s="19">
        <v>2038</v>
      </c>
      <c r="E41" s="19" t="s">
        <v>70</v>
      </c>
      <c r="F41" s="463"/>
      <c r="G41" s="463"/>
      <c r="H41" s="463"/>
      <c r="I41" s="463"/>
      <c r="J41" s="473"/>
      <c r="K41" s="473"/>
      <c r="L41" s="463"/>
      <c r="M41" s="463"/>
      <c r="N41" s="463"/>
      <c r="O41" s="52"/>
      <c r="P41" s="463"/>
      <c r="Q41" s="52"/>
    </row>
    <row r="42" spans="2:17">
      <c r="B42" s="18"/>
      <c r="C42" s="19"/>
      <c r="D42" s="19">
        <v>2039</v>
      </c>
      <c r="E42" s="19" t="s">
        <v>100</v>
      </c>
      <c r="F42" s="463"/>
      <c r="G42" s="463"/>
      <c r="H42" s="463"/>
      <c r="I42" s="463"/>
      <c r="J42" s="473"/>
      <c r="K42" s="473"/>
      <c r="L42" s="463"/>
      <c r="M42" s="463"/>
      <c r="N42" s="463"/>
      <c r="O42" s="52"/>
      <c r="P42" s="463"/>
      <c r="Q42" s="52"/>
    </row>
    <row r="43" spans="2:17">
      <c r="B43" s="18"/>
      <c r="C43" s="19"/>
      <c r="D43" s="19">
        <v>2040</v>
      </c>
      <c r="E43" s="19" t="s">
        <v>101</v>
      </c>
      <c r="F43" s="463"/>
      <c r="G43" s="463"/>
      <c r="H43" s="463"/>
      <c r="I43" s="463"/>
      <c r="J43" s="473"/>
      <c r="K43" s="473"/>
      <c r="L43" s="463"/>
      <c r="M43" s="463"/>
      <c r="N43" s="463"/>
      <c r="O43" s="52"/>
      <c r="P43" s="463"/>
      <c r="Q43" s="52"/>
    </row>
    <row r="44" spans="2:17">
      <c r="B44" s="18"/>
      <c r="C44" s="19"/>
      <c r="D44" s="19">
        <v>2041</v>
      </c>
      <c r="E44" s="19" t="s">
        <v>102</v>
      </c>
      <c r="F44" s="463"/>
      <c r="G44" s="463"/>
      <c r="H44" s="463"/>
      <c r="I44" s="463"/>
      <c r="J44" s="473"/>
      <c r="K44" s="473"/>
      <c r="L44" s="463"/>
      <c r="M44" s="463"/>
      <c r="N44" s="463"/>
      <c r="O44" s="52"/>
      <c r="P44" s="463"/>
      <c r="Q44" s="52"/>
    </row>
    <row r="45" spans="2:17">
      <c r="B45" s="18"/>
      <c r="C45" s="19"/>
      <c r="D45" s="19">
        <v>2042</v>
      </c>
      <c r="E45" s="19" t="s">
        <v>103</v>
      </c>
      <c r="F45" s="463"/>
      <c r="G45" s="463"/>
      <c r="H45" s="463"/>
      <c r="I45" s="463"/>
      <c r="J45" s="473"/>
      <c r="K45" s="473"/>
      <c r="L45" s="463"/>
      <c r="M45" s="463"/>
      <c r="N45" s="463"/>
      <c r="O45" s="52"/>
      <c r="P45" s="463"/>
      <c r="Q45" s="52"/>
    </row>
    <row r="46" spans="2:17">
      <c r="B46" s="23"/>
      <c r="C46" s="24"/>
      <c r="F46" s="18"/>
      <c r="G46" s="18"/>
      <c r="H46" s="18"/>
      <c r="I46" s="18"/>
      <c r="J46" s="18"/>
      <c r="K46" s="18"/>
      <c r="L46" s="18"/>
      <c r="M46" s="18"/>
      <c r="N46" s="18"/>
      <c r="O46" s="18"/>
      <c r="P46" s="18"/>
      <c r="Q46" s="18"/>
    </row>
    <row r="47" spans="2:17">
      <c r="D47" s="2"/>
      <c r="F47" s="25">
        <f>MAX(F16:F45)</f>
        <v>192666316</v>
      </c>
      <c r="G47" s="18"/>
      <c r="H47" s="18"/>
      <c r="I47" s="18"/>
      <c r="J47" s="18"/>
      <c r="K47" s="18"/>
      <c r="L47" s="18"/>
      <c r="M47" s="18"/>
      <c r="N47" s="25">
        <f>SUM(N16:N45)</f>
        <v>11537493.871859999</v>
      </c>
      <c r="O47" s="25">
        <f t="shared" ref="O47:Q47" si="6">SUM(O16:O45)</f>
        <v>1578057</v>
      </c>
      <c r="P47" s="25">
        <f t="shared" si="6"/>
        <v>0</v>
      </c>
      <c r="Q47" s="25">
        <f t="shared" si="6"/>
        <v>1244800</v>
      </c>
    </row>
    <row r="48" spans="2:17" s="2" customFormat="1">
      <c r="D48" s="1"/>
      <c r="E48" s="39" t="s">
        <v>71</v>
      </c>
      <c r="F48" s="26" t="s">
        <v>72</v>
      </c>
      <c r="G48" s="19"/>
      <c r="H48" s="19"/>
      <c r="I48" s="19"/>
      <c r="J48" s="19"/>
      <c r="K48" s="19"/>
      <c r="L48" s="19"/>
      <c r="M48" s="19"/>
      <c r="N48" s="19" t="s">
        <v>73</v>
      </c>
      <c r="O48" s="19" t="s">
        <v>73</v>
      </c>
      <c r="P48" s="19" t="s">
        <v>73</v>
      </c>
      <c r="Q48" s="19" t="s">
        <v>73</v>
      </c>
    </row>
    <row r="49" spans="2:19">
      <c r="F49" s="23"/>
    </row>
    <row r="50" spans="2:19">
      <c r="B50" s="27" t="s">
        <v>106</v>
      </c>
      <c r="C50" s="1"/>
      <c r="E50" s="24"/>
    </row>
    <row r="51" spans="2:19">
      <c r="C51" s="27" t="s">
        <v>74</v>
      </c>
    </row>
    <row r="52" spans="2:19">
      <c r="C52" s="1"/>
    </row>
    <row r="53" spans="2:19">
      <c r="B53" s="23" t="s">
        <v>75</v>
      </c>
      <c r="C53" s="1"/>
      <c r="D53" s="2"/>
      <c r="P53" s="23"/>
      <c r="Q53" s="23"/>
    </row>
    <row r="54" spans="2:19">
      <c r="B54" s="23"/>
      <c r="C54" s="1"/>
      <c r="D54" s="28" t="s">
        <v>76</v>
      </c>
      <c r="E54" s="54" t="s">
        <v>510</v>
      </c>
      <c r="F54" s="29"/>
      <c r="G54" s="9"/>
      <c r="H54" s="9"/>
      <c r="I54" s="30"/>
      <c r="N54" s="31" t="s">
        <v>77</v>
      </c>
      <c r="O54" s="32"/>
      <c r="P54" s="23"/>
      <c r="Q54" s="23"/>
    </row>
    <row r="55" spans="2:19">
      <c r="C55" s="1"/>
      <c r="D55" s="33" t="s">
        <v>78</v>
      </c>
      <c r="E55" s="54" t="s">
        <v>511</v>
      </c>
      <c r="F55" s="29"/>
      <c r="G55" s="34"/>
      <c r="H55" s="9"/>
      <c r="I55" s="30"/>
      <c r="N55" s="35" t="s">
        <v>79</v>
      </c>
      <c r="O55" s="36"/>
    </row>
    <row r="56" spans="2:19">
      <c r="B56" s="23"/>
      <c r="C56" s="1"/>
      <c r="D56" s="28" t="s">
        <v>80</v>
      </c>
      <c r="E56" s="54" t="s">
        <v>512</v>
      </c>
      <c r="G56" s="9"/>
      <c r="H56" s="9"/>
      <c r="I56" s="30"/>
      <c r="N56" s="37" t="s">
        <v>81</v>
      </c>
    </row>
    <row r="57" spans="2:19">
      <c r="C57" s="1"/>
      <c r="D57" s="28" t="s">
        <v>82</v>
      </c>
      <c r="E57" s="620" t="s">
        <v>513</v>
      </c>
      <c r="G57" s="9"/>
      <c r="H57" s="9"/>
      <c r="I57" s="30"/>
      <c r="N57" s="37" t="s">
        <v>83</v>
      </c>
    </row>
    <row r="58" spans="2:19">
      <c r="C58" s="1"/>
      <c r="E58" s="38"/>
      <c r="F58" s="23"/>
      <c r="G58" s="23"/>
      <c r="H58" s="23"/>
      <c r="N58" s="27" t="s">
        <v>84</v>
      </c>
    </row>
    <row r="59" spans="2:19">
      <c r="C59" s="1"/>
      <c r="E59" s="38"/>
      <c r="F59" s="23"/>
      <c r="G59" s="23"/>
      <c r="H59" s="23"/>
    </row>
    <row r="60" spans="2:19">
      <c r="C60" s="1"/>
      <c r="E60" s="38"/>
      <c r="F60" s="23"/>
      <c r="G60" s="23"/>
      <c r="H60" s="23"/>
      <c r="S60" s="39" t="s">
        <v>107</v>
      </c>
    </row>
    <row r="61" spans="2:19">
      <c r="C61" s="1"/>
      <c r="E61" s="38"/>
      <c r="F61" s="23"/>
      <c r="G61" s="23"/>
      <c r="H61" s="23"/>
    </row>
    <row r="62" spans="2:19">
      <c r="C62" s="1"/>
      <c r="E62" s="38"/>
      <c r="F62" s="23"/>
      <c r="G62" s="23"/>
      <c r="H62" s="23"/>
    </row>
    <row r="64" spans="2:19">
      <c r="C64"/>
    </row>
    <row r="65" spans="3:3">
      <c r="C65"/>
    </row>
    <row r="66" spans="3:3">
      <c r="C66"/>
    </row>
    <row r="67" spans="3:3">
      <c r="C67"/>
    </row>
    <row r="68" spans="3:3">
      <c r="C68"/>
    </row>
    <row r="69" spans="3:3">
      <c r="C69"/>
    </row>
  </sheetData>
  <hyperlinks>
    <hyperlink ref="E57" r:id="rId1" xr:uid="{538C52C7-4815-4B78-BE5F-1BDCC034BAC6}"/>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AAD50-1696-4D72-B1D7-04490E64D6E8}">
  <sheetPr>
    <tabColor theme="4" tint="0.59999389629810485"/>
  </sheetPr>
  <dimension ref="A1:Z64"/>
  <sheetViews>
    <sheetView zoomScale="60" zoomScaleNormal="60" workbookViewId="0">
      <selection activeCell="G10" sqref="G10"/>
    </sheetView>
  </sheetViews>
  <sheetFormatPr defaultRowHeight="15"/>
  <cols>
    <col min="1" max="1" width="25.7109375" style="1" customWidth="1"/>
    <col min="2" max="2" width="58.28515625" style="1" customWidth="1"/>
    <col min="3" max="3" width="11.7109375" style="2" customWidth="1"/>
    <col min="4" max="4" width="20.28515625" style="2" customWidth="1"/>
    <col min="5" max="5" width="11.140625" style="1" customWidth="1"/>
    <col min="6" max="6" width="13.5703125" style="1" customWidth="1"/>
    <col min="7" max="7" width="25.85546875" style="1" customWidth="1"/>
    <col min="8" max="8" width="27.7109375" style="1" customWidth="1"/>
    <col min="9" max="10" width="25.85546875" style="1" customWidth="1"/>
    <col min="11" max="11" width="45.85546875" style="1" customWidth="1"/>
    <col min="12" max="13" width="8.7109375" style="1"/>
    <col min="14" max="14" width="14.5703125" style="1" customWidth="1"/>
    <col min="15" max="17" width="8.7109375" style="1"/>
    <col min="18" max="18" width="10.42578125" style="1" customWidth="1"/>
    <col min="19" max="260" width="8.7109375" style="1"/>
    <col min="261" max="266" width="13.5703125" style="1" customWidth="1"/>
    <col min="267" max="516" width="8.7109375" style="1"/>
    <col min="517" max="522" width="13.5703125" style="1" customWidth="1"/>
    <col min="523" max="772" width="8.7109375" style="1"/>
    <col min="773" max="778" width="13.5703125" style="1" customWidth="1"/>
    <col min="779" max="1028" width="8.7109375" style="1"/>
    <col min="1029" max="1034" width="13.5703125" style="1" customWidth="1"/>
    <col min="1035" max="1284" width="8.7109375" style="1"/>
    <col min="1285" max="1290" width="13.5703125" style="1" customWidth="1"/>
    <col min="1291" max="1540" width="8.7109375" style="1"/>
    <col min="1541" max="1546" width="13.5703125" style="1" customWidth="1"/>
    <col min="1547" max="1796" width="8.7109375" style="1"/>
    <col min="1797" max="1802" width="13.5703125" style="1" customWidth="1"/>
    <col min="1803" max="2052" width="8.7109375" style="1"/>
    <col min="2053" max="2058" width="13.5703125" style="1" customWidth="1"/>
    <col min="2059" max="2308" width="8.7109375" style="1"/>
    <col min="2309" max="2314" width="13.5703125" style="1" customWidth="1"/>
    <col min="2315" max="2564" width="8.7109375" style="1"/>
    <col min="2565" max="2570" width="13.5703125" style="1" customWidth="1"/>
    <col min="2571" max="2820" width="8.7109375" style="1"/>
    <col min="2821" max="2826" width="13.5703125" style="1" customWidth="1"/>
    <col min="2827" max="3076" width="8.7109375" style="1"/>
    <col min="3077" max="3082" width="13.5703125" style="1" customWidth="1"/>
    <col min="3083" max="3332" width="8.7109375" style="1"/>
    <col min="3333" max="3338" width="13.5703125" style="1" customWidth="1"/>
    <col min="3339" max="3588" width="8.7109375" style="1"/>
    <col min="3589" max="3594" width="13.5703125" style="1" customWidth="1"/>
    <col min="3595" max="3844" width="8.7109375" style="1"/>
    <col min="3845" max="3850" width="13.5703125" style="1" customWidth="1"/>
    <col min="3851" max="4100" width="8.7109375" style="1"/>
    <col min="4101" max="4106" width="13.5703125" style="1" customWidth="1"/>
    <col min="4107" max="4356" width="8.7109375" style="1"/>
    <col min="4357" max="4362" width="13.5703125" style="1" customWidth="1"/>
    <col min="4363" max="4612" width="8.7109375" style="1"/>
    <col min="4613" max="4618" width="13.5703125" style="1" customWidth="1"/>
    <col min="4619" max="4868" width="8.7109375" style="1"/>
    <col min="4869" max="4874" width="13.5703125" style="1" customWidth="1"/>
    <col min="4875" max="5124" width="8.7109375" style="1"/>
    <col min="5125" max="5130" width="13.5703125" style="1" customWidth="1"/>
    <col min="5131" max="5380" width="8.7109375" style="1"/>
    <col min="5381" max="5386" width="13.5703125" style="1" customWidth="1"/>
    <col min="5387" max="5636" width="8.7109375" style="1"/>
    <col min="5637" max="5642" width="13.5703125" style="1" customWidth="1"/>
    <col min="5643" max="5892" width="8.7109375" style="1"/>
    <col min="5893" max="5898" width="13.5703125" style="1" customWidth="1"/>
    <col min="5899" max="6148" width="8.7109375" style="1"/>
    <col min="6149" max="6154" width="13.5703125" style="1" customWidth="1"/>
    <col min="6155" max="6404" width="8.7109375" style="1"/>
    <col min="6405" max="6410" width="13.5703125" style="1" customWidth="1"/>
    <col min="6411" max="6660" width="8.7109375" style="1"/>
    <col min="6661" max="6666" width="13.5703125" style="1" customWidth="1"/>
    <col min="6667" max="6916" width="8.7109375" style="1"/>
    <col min="6917" max="6922" width="13.5703125" style="1" customWidth="1"/>
    <col min="6923" max="7172" width="8.7109375" style="1"/>
    <col min="7173" max="7178" width="13.5703125" style="1" customWidth="1"/>
    <col min="7179" max="7428" width="8.7109375" style="1"/>
    <col min="7429" max="7434" width="13.5703125" style="1" customWidth="1"/>
    <col min="7435" max="7684" width="8.7109375" style="1"/>
    <col min="7685" max="7690" width="13.5703125" style="1" customWidth="1"/>
    <col min="7691" max="7940" width="8.7109375" style="1"/>
    <col min="7941" max="7946" width="13.5703125" style="1" customWidth="1"/>
    <col min="7947" max="8196" width="8.7109375" style="1"/>
    <col min="8197" max="8202" width="13.5703125" style="1" customWidth="1"/>
    <col min="8203" max="8452" width="8.7109375" style="1"/>
    <col min="8453" max="8458" width="13.5703125" style="1" customWidth="1"/>
    <col min="8459" max="8708" width="8.7109375" style="1"/>
    <col min="8709" max="8714" width="13.5703125" style="1" customWidth="1"/>
    <col min="8715" max="8964" width="8.7109375" style="1"/>
    <col min="8965" max="8970" width="13.5703125" style="1" customWidth="1"/>
    <col min="8971" max="9220" width="8.7109375" style="1"/>
    <col min="9221" max="9226" width="13.5703125" style="1" customWidth="1"/>
    <col min="9227" max="9476" width="8.7109375" style="1"/>
    <col min="9477" max="9482" width="13.5703125" style="1" customWidth="1"/>
    <col min="9483" max="9732" width="8.7109375" style="1"/>
    <col min="9733" max="9738" width="13.5703125" style="1" customWidth="1"/>
    <col min="9739" max="9988" width="8.7109375" style="1"/>
    <col min="9989" max="9994" width="13.5703125" style="1" customWidth="1"/>
    <col min="9995" max="10244" width="8.7109375" style="1"/>
    <col min="10245" max="10250" width="13.5703125" style="1" customWidth="1"/>
    <col min="10251" max="10500" width="8.7109375" style="1"/>
    <col min="10501" max="10506" width="13.5703125" style="1" customWidth="1"/>
    <col min="10507" max="10756" width="8.7109375" style="1"/>
    <col min="10757" max="10762" width="13.5703125" style="1" customWidth="1"/>
    <col min="10763" max="11012" width="8.7109375" style="1"/>
    <col min="11013" max="11018" width="13.5703125" style="1" customWidth="1"/>
    <col min="11019" max="11268" width="8.7109375" style="1"/>
    <col min="11269" max="11274" width="13.5703125" style="1" customWidth="1"/>
    <col min="11275" max="11524" width="8.7109375" style="1"/>
    <col min="11525" max="11530" width="13.5703125" style="1" customWidth="1"/>
    <col min="11531" max="11780" width="8.7109375" style="1"/>
    <col min="11781" max="11786" width="13.5703125" style="1" customWidth="1"/>
    <col min="11787" max="12036" width="8.7109375" style="1"/>
    <col min="12037" max="12042" width="13.5703125" style="1" customWidth="1"/>
    <col min="12043" max="12292" width="8.7109375" style="1"/>
    <col min="12293" max="12298" width="13.5703125" style="1" customWidth="1"/>
    <col min="12299" max="12548" width="8.7109375" style="1"/>
    <col min="12549" max="12554" width="13.5703125" style="1" customWidth="1"/>
    <col min="12555" max="12804" width="8.7109375" style="1"/>
    <col min="12805" max="12810" width="13.5703125" style="1" customWidth="1"/>
    <col min="12811" max="13060" width="8.7109375" style="1"/>
    <col min="13061" max="13066" width="13.5703125" style="1" customWidth="1"/>
    <col min="13067" max="13316" width="8.7109375" style="1"/>
    <col min="13317" max="13322" width="13.5703125" style="1" customWidth="1"/>
    <col min="13323" max="13572" width="8.7109375" style="1"/>
    <col min="13573" max="13578" width="13.5703125" style="1" customWidth="1"/>
    <col min="13579" max="13828" width="8.7109375" style="1"/>
    <col min="13829" max="13834" width="13.5703125" style="1" customWidth="1"/>
    <col min="13835" max="14084" width="8.7109375" style="1"/>
    <col min="14085" max="14090" width="13.5703125" style="1" customWidth="1"/>
    <col min="14091" max="14340" width="8.7109375" style="1"/>
    <col min="14341" max="14346" width="13.5703125" style="1" customWidth="1"/>
    <col min="14347" max="14596" width="8.7109375" style="1"/>
    <col min="14597" max="14602" width="13.5703125" style="1" customWidth="1"/>
    <col min="14603" max="14852" width="8.7109375" style="1"/>
    <col min="14853" max="14858" width="13.5703125" style="1" customWidth="1"/>
    <col min="14859" max="15108" width="8.7109375" style="1"/>
    <col min="15109" max="15114" width="13.5703125" style="1" customWidth="1"/>
    <col min="15115" max="15364" width="8.7109375" style="1"/>
    <col min="15365" max="15370" width="13.5703125" style="1" customWidth="1"/>
    <col min="15371" max="15620" width="8.7109375" style="1"/>
    <col min="15621" max="15626" width="13.5703125" style="1" customWidth="1"/>
    <col min="15627" max="15876" width="8.7109375" style="1"/>
    <col min="15877" max="15882" width="13.5703125" style="1" customWidth="1"/>
    <col min="15883" max="16132" width="8.7109375" style="1"/>
    <col min="16133" max="16138" width="13.5703125" style="1" customWidth="1"/>
    <col min="16139" max="16384" width="8.7109375" style="1"/>
  </cols>
  <sheetData>
    <row r="1" spans="1:26">
      <c r="A1" s="61" t="s">
        <v>115</v>
      </c>
      <c r="B1" s="62"/>
    </row>
    <row r="2" spans="1:26" ht="15.75">
      <c r="A2" s="63"/>
      <c r="B2" s="64"/>
      <c r="C2" s="62"/>
      <c r="D2" s="65"/>
      <c r="E2" s="66" t="s">
        <v>116</v>
      </c>
      <c r="F2" s="67"/>
      <c r="G2" s="20"/>
      <c r="H2" s="62"/>
      <c r="I2" s="18"/>
      <c r="J2" s="20"/>
      <c r="K2" s="68"/>
      <c r="L2" s="69"/>
      <c r="M2" s="62"/>
      <c r="N2" s="62"/>
      <c r="O2" s="62"/>
      <c r="P2" s="62"/>
      <c r="Q2" s="62"/>
      <c r="R2" s="62"/>
      <c r="S2" s="62"/>
      <c r="T2" s="62"/>
      <c r="U2" s="62"/>
      <c r="V2" s="62"/>
      <c r="W2" s="62"/>
      <c r="Z2" s="70"/>
    </row>
    <row r="3" spans="1:26" ht="15.75">
      <c r="A3" s="63"/>
      <c r="B3" s="71"/>
      <c r="C3" s="62"/>
      <c r="D3" s="65"/>
      <c r="E3" s="66"/>
      <c r="F3" s="72" t="s">
        <v>1</v>
      </c>
      <c r="G3" s="614">
        <v>1177</v>
      </c>
      <c r="H3" s="73"/>
      <c r="I3" s="18"/>
      <c r="J3" s="20"/>
      <c r="K3" s="74"/>
      <c r="L3" s="69"/>
      <c r="M3" s="62"/>
      <c r="N3" s="62"/>
      <c r="O3" s="62"/>
      <c r="P3" s="62"/>
      <c r="Q3" s="62"/>
      <c r="R3" s="62"/>
      <c r="S3" s="62"/>
      <c r="T3" s="62"/>
      <c r="U3" s="62"/>
      <c r="V3" s="62"/>
      <c r="W3" s="62"/>
      <c r="Z3" s="70"/>
    </row>
    <row r="4" spans="1:26" ht="15.75">
      <c r="A4" s="63"/>
      <c r="B4" s="64"/>
      <c r="C4" s="62"/>
      <c r="D4" s="65"/>
      <c r="E4" s="66"/>
      <c r="F4" s="68" t="s">
        <v>2</v>
      </c>
      <c r="G4" s="615" t="s">
        <v>506</v>
      </c>
      <c r="H4" s="62"/>
      <c r="I4" s="18"/>
      <c r="J4" s="20"/>
      <c r="K4" s="68"/>
      <c r="L4" s="69"/>
      <c r="M4" s="62"/>
      <c r="N4" s="62"/>
      <c r="O4" s="62"/>
      <c r="P4" s="62"/>
      <c r="Q4" s="62"/>
      <c r="R4" s="62"/>
      <c r="S4" s="62"/>
      <c r="T4" s="62"/>
      <c r="U4" s="62"/>
      <c r="V4" s="62"/>
      <c r="W4" s="62"/>
      <c r="Z4" s="70"/>
    </row>
    <row r="5" spans="1:26" ht="15.75">
      <c r="A5" s="63"/>
      <c r="B5" s="64"/>
      <c r="C5" s="62"/>
      <c r="D5" s="65"/>
      <c r="E5" s="66"/>
      <c r="F5" s="72" t="s">
        <v>3</v>
      </c>
      <c r="G5" s="615" t="s">
        <v>507</v>
      </c>
      <c r="H5" s="62"/>
      <c r="I5" s="18"/>
      <c r="J5" s="20"/>
      <c r="K5" s="68"/>
      <c r="L5" s="69"/>
      <c r="M5" s="62"/>
      <c r="N5" s="62"/>
      <c r="O5" s="62"/>
      <c r="P5" s="62"/>
      <c r="Q5" s="62"/>
      <c r="R5" s="62"/>
      <c r="S5" s="62"/>
      <c r="T5" s="62"/>
      <c r="U5" s="62"/>
      <c r="V5" s="62"/>
      <c r="W5" s="62"/>
      <c r="Z5" s="70"/>
    </row>
    <row r="6" spans="1:26" ht="15.75">
      <c r="A6" s="63"/>
      <c r="B6" s="64"/>
      <c r="C6" s="62"/>
      <c r="D6" s="65"/>
      <c r="E6" s="66"/>
      <c r="F6" s="68" t="s">
        <v>117</v>
      </c>
      <c r="G6" s="616" t="s">
        <v>508</v>
      </c>
      <c r="H6" s="62"/>
      <c r="I6" s="18"/>
      <c r="J6" s="20"/>
      <c r="K6" s="68"/>
      <c r="L6" s="69"/>
      <c r="M6" s="62"/>
      <c r="N6" s="62"/>
      <c r="O6" s="62"/>
      <c r="P6" s="62"/>
      <c r="Q6" s="62"/>
      <c r="R6" s="62"/>
      <c r="S6" s="62"/>
      <c r="T6" s="62"/>
      <c r="U6" s="62"/>
      <c r="V6" s="62"/>
      <c r="W6" s="62"/>
      <c r="Z6" s="70"/>
    </row>
    <row r="7" spans="1:26" ht="15.75">
      <c r="A7" s="63"/>
      <c r="B7" s="64"/>
      <c r="C7" s="62"/>
      <c r="D7" s="65"/>
      <c r="E7" s="66"/>
      <c r="F7" s="68" t="s">
        <v>99</v>
      </c>
      <c r="G7" s="617">
        <v>20000000</v>
      </c>
      <c r="H7" s="62"/>
      <c r="I7" s="18"/>
      <c r="J7" s="20"/>
      <c r="K7" s="68"/>
      <c r="L7" s="69"/>
      <c r="M7" s="62"/>
      <c r="N7" s="62"/>
      <c r="O7" s="62"/>
      <c r="P7" s="62"/>
      <c r="Q7" s="62"/>
      <c r="R7" s="62"/>
      <c r="S7" s="62"/>
      <c r="T7" s="62"/>
      <c r="U7" s="62"/>
      <c r="V7" s="62"/>
      <c r="W7" s="62"/>
      <c r="Z7" s="70"/>
    </row>
    <row r="8" spans="1:26" ht="15.75">
      <c r="A8" s="63"/>
      <c r="B8" s="64"/>
      <c r="C8" s="62"/>
      <c r="D8" s="65"/>
      <c r="E8" s="66"/>
      <c r="F8" s="68" t="s">
        <v>118</v>
      </c>
      <c r="G8" s="618">
        <v>2018</v>
      </c>
      <c r="H8" s="62"/>
      <c r="I8" s="18"/>
      <c r="J8" s="20"/>
      <c r="K8" s="68"/>
      <c r="L8" s="69"/>
      <c r="M8" s="62"/>
      <c r="N8" s="62"/>
      <c r="O8" s="62"/>
      <c r="P8" s="62"/>
      <c r="Q8" s="62"/>
      <c r="R8" s="62"/>
      <c r="S8" s="62"/>
      <c r="T8" s="62"/>
      <c r="U8" s="62"/>
      <c r="V8" s="62"/>
      <c r="W8" s="62"/>
      <c r="Z8" s="70"/>
    </row>
    <row r="9" spans="1:26">
      <c r="A9" s="63"/>
      <c r="B9" s="64"/>
      <c r="C9" s="73"/>
      <c r="D9" s="73"/>
      <c r="E9" s="20"/>
      <c r="F9" s="68" t="s">
        <v>119</v>
      </c>
      <c r="G9" s="618">
        <v>2020</v>
      </c>
      <c r="H9" s="62"/>
      <c r="I9" s="62"/>
      <c r="J9" s="20"/>
      <c r="K9" s="68"/>
      <c r="L9" s="69"/>
      <c r="M9" s="62"/>
      <c r="N9" s="62"/>
      <c r="O9" s="62"/>
      <c r="P9" s="62"/>
      <c r="Q9" s="62"/>
      <c r="R9" s="62"/>
      <c r="S9" s="62"/>
      <c r="T9" s="62"/>
      <c r="U9" s="62"/>
      <c r="V9" s="62"/>
      <c r="W9" s="62"/>
      <c r="Z9" s="70"/>
    </row>
    <row r="10" spans="1:26">
      <c r="A10" s="63"/>
      <c r="B10" s="64"/>
      <c r="C10" s="62"/>
      <c r="D10" s="62"/>
      <c r="E10" s="20"/>
      <c r="F10" s="68" t="s">
        <v>120</v>
      </c>
      <c r="G10" s="619">
        <v>2018</v>
      </c>
      <c r="H10" s="76" t="s">
        <v>121</v>
      </c>
      <c r="I10" s="62"/>
      <c r="J10" s="77"/>
      <c r="K10" s="20"/>
      <c r="L10" s="69"/>
      <c r="M10" s="62"/>
      <c r="N10" s="62"/>
      <c r="O10" s="62"/>
      <c r="P10" s="62"/>
      <c r="Q10" s="62"/>
      <c r="R10" s="62"/>
      <c r="S10" s="62"/>
      <c r="T10" s="62"/>
      <c r="U10" s="62"/>
      <c r="V10" s="62"/>
      <c r="W10" s="62"/>
    </row>
    <row r="11" spans="1:26">
      <c r="A11" s="63"/>
      <c r="B11" s="64"/>
      <c r="C11" s="62"/>
      <c r="D11" s="62"/>
      <c r="E11" s="20"/>
      <c r="F11" s="68" t="s">
        <v>122</v>
      </c>
      <c r="G11" s="618">
        <v>2034</v>
      </c>
      <c r="H11" s="76" t="s">
        <v>123</v>
      </c>
      <c r="I11" s="20"/>
      <c r="J11" s="77"/>
      <c r="K11" s="20"/>
      <c r="L11" s="69"/>
      <c r="M11" s="62"/>
      <c r="N11" s="62"/>
      <c r="O11" s="62"/>
      <c r="P11" s="62"/>
      <c r="Q11" s="62"/>
      <c r="R11" s="62"/>
      <c r="S11" s="62"/>
      <c r="T11" s="62"/>
      <c r="U11" s="62"/>
      <c r="V11" s="62"/>
      <c r="W11" s="62"/>
    </row>
    <row r="12" spans="1:26">
      <c r="A12" s="63"/>
      <c r="B12" s="64"/>
      <c r="C12" s="62"/>
      <c r="D12" s="62"/>
      <c r="E12" s="20"/>
      <c r="F12" s="62"/>
      <c r="G12" s="62"/>
      <c r="H12" s="78" t="s">
        <v>124</v>
      </c>
      <c r="I12" s="20"/>
      <c r="J12" s="20"/>
      <c r="K12" s="20"/>
      <c r="L12" s="79"/>
      <c r="M12" s="30"/>
      <c r="N12" s="62"/>
      <c r="O12" s="62"/>
      <c r="P12" s="62"/>
      <c r="Q12" s="62"/>
      <c r="R12" s="62"/>
      <c r="S12" s="62"/>
      <c r="T12" s="62"/>
      <c r="U12" s="62"/>
      <c r="V12" s="62"/>
      <c r="W12" s="62"/>
    </row>
    <row r="13" spans="1:26">
      <c r="A13" s="63"/>
      <c r="B13" s="64"/>
      <c r="C13" s="73"/>
      <c r="D13" s="80"/>
      <c r="E13" s="62"/>
      <c r="F13" s="62"/>
      <c r="G13" s="62"/>
      <c r="H13" s="62"/>
      <c r="I13" s="62"/>
      <c r="J13" s="62"/>
      <c r="K13" s="62"/>
      <c r="L13" s="64"/>
      <c r="M13" s="62"/>
      <c r="N13" s="62"/>
      <c r="O13" s="62"/>
      <c r="P13" s="62"/>
      <c r="Q13" s="62"/>
      <c r="R13" s="62"/>
      <c r="S13" s="62"/>
      <c r="T13" s="62"/>
    </row>
    <row r="14" spans="1:26">
      <c r="A14" s="63"/>
      <c r="B14" s="64"/>
      <c r="C14" s="73" t="s">
        <v>125</v>
      </c>
      <c r="D14" s="73" t="s">
        <v>126</v>
      </c>
      <c r="E14" s="80" t="s">
        <v>127</v>
      </c>
      <c r="F14" s="73" t="s">
        <v>128</v>
      </c>
      <c r="G14" s="73" t="s">
        <v>129</v>
      </c>
      <c r="H14" s="73" t="s">
        <v>130</v>
      </c>
      <c r="I14" s="73" t="s">
        <v>131</v>
      </c>
      <c r="J14" s="73" t="s">
        <v>132</v>
      </c>
      <c r="K14" s="62"/>
      <c r="L14" s="64"/>
      <c r="M14" s="62"/>
      <c r="N14" s="62"/>
      <c r="O14" s="62"/>
      <c r="P14" s="62"/>
      <c r="Q14" s="62"/>
      <c r="R14" s="62"/>
      <c r="S14" s="62"/>
      <c r="T14" s="62"/>
    </row>
    <row r="15" spans="1:26" ht="49.5" customHeight="1">
      <c r="A15" s="63"/>
      <c r="B15" s="64"/>
      <c r="C15" s="12" t="s">
        <v>133</v>
      </c>
      <c r="D15" s="12" t="s">
        <v>134</v>
      </c>
      <c r="E15" s="15" t="s">
        <v>14</v>
      </c>
      <c r="F15" s="15" t="s">
        <v>135</v>
      </c>
      <c r="G15" s="12" t="s">
        <v>16</v>
      </c>
      <c r="H15" s="12" t="s">
        <v>17</v>
      </c>
      <c r="I15" s="15" t="s">
        <v>18</v>
      </c>
      <c r="J15" s="15" t="s">
        <v>19</v>
      </c>
      <c r="K15" s="62"/>
      <c r="L15" s="64"/>
      <c r="M15" s="62"/>
      <c r="S15" s="62"/>
      <c r="T15" s="62"/>
    </row>
    <row r="16" spans="1:26">
      <c r="A16" s="63"/>
      <c r="B16" s="64"/>
      <c r="C16" s="73"/>
      <c r="D16" s="73"/>
      <c r="E16" s="73"/>
      <c r="F16" s="73"/>
      <c r="G16" s="62"/>
      <c r="H16" s="62"/>
      <c r="I16" s="62"/>
      <c r="J16" s="62"/>
      <c r="K16" s="62"/>
      <c r="L16" s="64"/>
      <c r="M16" s="62"/>
      <c r="S16" s="62"/>
      <c r="T16" s="62"/>
    </row>
    <row r="17" spans="1:20">
      <c r="A17" s="63"/>
      <c r="B17" s="64"/>
      <c r="C17" s="62"/>
      <c r="D17" s="73"/>
      <c r="E17" s="73">
        <v>2013</v>
      </c>
      <c r="F17" s="19" t="s">
        <v>28</v>
      </c>
      <c r="G17" s="81"/>
      <c r="H17" s="81"/>
      <c r="I17" s="81"/>
      <c r="J17" s="81"/>
      <c r="K17" s="62"/>
      <c r="L17" s="64"/>
      <c r="M17" s="62"/>
      <c r="S17" s="62"/>
      <c r="T17" s="62"/>
    </row>
    <row r="18" spans="1:20">
      <c r="A18" s="63"/>
      <c r="B18" s="64"/>
      <c r="C18" s="62"/>
      <c r="D18" s="73"/>
      <c r="E18" s="73">
        <v>2014</v>
      </c>
      <c r="F18" s="19" t="s">
        <v>29</v>
      </c>
      <c r="G18" s="81"/>
      <c r="H18" s="81"/>
      <c r="I18" s="81"/>
      <c r="J18" s="81"/>
      <c r="K18" s="62"/>
      <c r="L18" s="64"/>
      <c r="M18" s="62"/>
      <c r="S18" s="62"/>
      <c r="T18" s="62"/>
    </row>
    <row r="19" spans="1:20">
      <c r="A19" s="63"/>
      <c r="B19" s="64"/>
      <c r="C19" s="73"/>
      <c r="D19" s="73"/>
      <c r="E19" s="73">
        <v>2015</v>
      </c>
      <c r="F19" s="19" t="s">
        <v>30</v>
      </c>
      <c r="G19" s="81"/>
      <c r="H19" s="81"/>
      <c r="I19" s="81"/>
      <c r="J19" s="81"/>
      <c r="K19" s="62"/>
      <c r="L19" s="64"/>
      <c r="M19" s="62"/>
      <c r="S19" s="62"/>
      <c r="T19" s="62"/>
    </row>
    <row r="20" spans="1:20">
      <c r="A20" s="63"/>
      <c r="B20" s="64"/>
      <c r="C20" s="73"/>
      <c r="D20" s="73"/>
      <c r="E20" s="73">
        <v>2016</v>
      </c>
      <c r="F20" s="19" t="s">
        <v>32</v>
      </c>
      <c r="G20" s="81"/>
      <c r="H20" s="81"/>
      <c r="I20" s="81"/>
      <c r="J20" s="81"/>
      <c r="K20" s="62"/>
      <c r="L20" s="64"/>
      <c r="M20" s="62"/>
      <c r="S20" s="62"/>
      <c r="T20" s="62"/>
    </row>
    <row r="21" spans="1:20">
      <c r="A21" s="63"/>
      <c r="B21" s="64"/>
      <c r="C21" s="73"/>
      <c r="D21" s="62"/>
      <c r="E21" s="73">
        <v>2017</v>
      </c>
      <c r="F21" s="19" t="s">
        <v>34</v>
      </c>
      <c r="G21" s="81">
        <v>0</v>
      </c>
      <c r="H21" s="81">
        <v>0</v>
      </c>
      <c r="I21" s="81">
        <v>0</v>
      </c>
      <c r="J21" s="81">
        <v>0</v>
      </c>
      <c r="K21" s="62"/>
      <c r="L21" s="64"/>
      <c r="M21" s="62"/>
      <c r="S21" s="62"/>
      <c r="T21" s="62"/>
    </row>
    <row r="22" spans="1:20">
      <c r="A22" s="63"/>
      <c r="B22" s="64"/>
      <c r="C22" s="73" t="s">
        <v>31</v>
      </c>
      <c r="D22" s="62"/>
      <c r="E22" s="73">
        <v>2018</v>
      </c>
      <c r="F22" s="19" t="s">
        <v>35</v>
      </c>
      <c r="G22" s="81">
        <v>39524815</v>
      </c>
      <c r="H22" s="81">
        <v>0</v>
      </c>
      <c r="I22" s="81">
        <v>0</v>
      </c>
      <c r="J22" s="81">
        <v>0</v>
      </c>
      <c r="K22" s="62"/>
      <c r="L22" s="64"/>
      <c r="M22" s="62"/>
      <c r="S22" s="62"/>
      <c r="T22" s="62"/>
    </row>
    <row r="23" spans="1:20">
      <c r="A23" s="63"/>
      <c r="B23" s="64"/>
      <c r="C23" s="73" t="s">
        <v>33</v>
      </c>
      <c r="D23" s="73"/>
      <c r="E23" s="73">
        <v>2019</v>
      </c>
      <c r="F23" s="19" t="s">
        <v>37</v>
      </c>
      <c r="G23" s="81">
        <v>192666316</v>
      </c>
      <c r="H23" s="81">
        <v>443800</v>
      </c>
      <c r="I23" s="81">
        <v>443800</v>
      </c>
      <c r="J23" s="81">
        <v>0</v>
      </c>
      <c r="K23" s="62"/>
      <c r="L23" s="64"/>
      <c r="M23" s="62"/>
      <c r="S23" s="62"/>
      <c r="T23" s="62"/>
    </row>
    <row r="24" spans="1:20">
      <c r="A24" s="63"/>
      <c r="B24" s="64"/>
      <c r="C24" s="73"/>
      <c r="D24" s="73" t="s">
        <v>36</v>
      </c>
      <c r="E24" s="73">
        <v>2020</v>
      </c>
      <c r="F24" s="19" t="s">
        <v>39</v>
      </c>
      <c r="G24" s="82">
        <v>192666316</v>
      </c>
      <c r="H24" s="82">
        <v>169621380</v>
      </c>
      <c r="I24" s="82">
        <v>169621380</v>
      </c>
      <c r="J24" s="82">
        <v>20000000</v>
      </c>
      <c r="K24" s="83"/>
      <c r="L24" s="64"/>
      <c r="M24" s="62"/>
      <c r="S24" s="62"/>
      <c r="T24" s="62"/>
    </row>
    <row r="25" spans="1:20">
      <c r="A25" s="63"/>
      <c r="B25" s="64"/>
      <c r="C25" s="73"/>
      <c r="D25" s="73" t="s">
        <v>38</v>
      </c>
      <c r="E25" s="73">
        <v>2021</v>
      </c>
      <c r="F25" s="19" t="s">
        <v>41</v>
      </c>
      <c r="G25" s="82">
        <v>192666316</v>
      </c>
      <c r="H25" s="82">
        <v>161140000</v>
      </c>
      <c r="I25" s="82">
        <v>161140000</v>
      </c>
      <c r="J25" s="82">
        <v>20000000</v>
      </c>
      <c r="K25" s="62"/>
      <c r="L25" s="64"/>
      <c r="M25" s="62"/>
      <c r="S25" s="62"/>
      <c r="T25" s="62"/>
    </row>
    <row r="26" spans="1:20">
      <c r="A26" s="63"/>
      <c r="B26" s="64"/>
      <c r="C26" s="73"/>
      <c r="D26" s="73" t="s">
        <v>40</v>
      </c>
      <c r="E26" s="73">
        <v>2022</v>
      </c>
      <c r="F26" s="19" t="s">
        <v>43</v>
      </c>
      <c r="G26" s="82">
        <v>192666316</v>
      </c>
      <c r="H26" s="82">
        <v>153083000</v>
      </c>
      <c r="I26" s="82">
        <v>153083000</v>
      </c>
      <c r="J26" s="82">
        <v>20000000</v>
      </c>
      <c r="K26" s="62"/>
      <c r="L26" s="64"/>
      <c r="M26" s="62"/>
      <c r="S26" s="62"/>
      <c r="T26" s="62"/>
    </row>
    <row r="27" spans="1:20">
      <c r="A27" s="63"/>
      <c r="B27" s="64"/>
      <c r="C27" s="73"/>
      <c r="D27" s="73" t="s">
        <v>42</v>
      </c>
      <c r="E27" s="73">
        <v>2023</v>
      </c>
      <c r="F27" s="19" t="s">
        <v>45</v>
      </c>
      <c r="G27" s="82">
        <v>192666316</v>
      </c>
      <c r="H27" s="82">
        <v>142367000</v>
      </c>
      <c r="I27" s="82">
        <v>142367000</v>
      </c>
      <c r="J27" s="82">
        <v>20000000</v>
      </c>
      <c r="K27" s="62"/>
      <c r="L27" s="64"/>
      <c r="M27" s="62"/>
      <c r="S27" s="62"/>
      <c r="T27" s="62"/>
    </row>
    <row r="28" spans="1:20">
      <c r="A28" s="63"/>
      <c r="B28" s="64"/>
      <c r="C28" s="73"/>
      <c r="D28" s="73" t="s">
        <v>44</v>
      </c>
      <c r="E28" s="73">
        <v>2024</v>
      </c>
      <c r="F28" s="19" t="s">
        <v>47</v>
      </c>
      <c r="G28" s="82">
        <v>192666316</v>
      </c>
      <c r="H28" s="82">
        <v>132402000</v>
      </c>
      <c r="I28" s="82">
        <v>132402000</v>
      </c>
      <c r="J28" s="82">
        <v>20000000</v>
      </c>
      <c r="K28" s="62"/>
      <c r="L28" s="64"/>
      <c r="M28" s="62"/>
      <c r="S28" s="62"/>
      <c r="T28" s="62"/>
    </row>
    <row r="29" spans="1:20">
      <c r="A29" s="63"/>
      <c r="B29" s="64"/>
      <c r="C29" s="73"/>
      <c r="D29" s="73" t="s">
        <v>46</v>
      </c>
      <c r="E29" s="73">
        <v>2025</v>
      </c>
      <c r="F29" s="19" t="s">
        <v>49</v>
      </c>
      <c r="G29" s="82">
        <v>192666316</v>
      </c>
      <c r="H29" s="82">
        <v>123134000</v>
      </c>
      <c r="I29" s="82">
        <v>123134000</v>
      </c>
      <c r="J29" s="82">
        <v>20000000</v>
      </c>
      <c r="K29" s="62"/>
      <c r="L29" s="64"/>
      <c r="M29" s="62"/>
      <c r="S29" s="62"/>
      <c r="T29" s="62"/>
    </row>
    <row r="30" spans="1:20">
      <c r="A30" s="63"/>
      <c r="B30" s="64"/>
      <c r="C30" s="73"/>
      <c r="D30" s="73" t="s">
        <v>48</v>
      </c>
      <c r="E30" s="73">
        <v>2026</v>
      </c>
      <c r="F30" s="19" t="s">
        <v>51</v>
      </c>
      <c r="G30" s="82">
        <v>192666316</v>
      </c>
      <c r="H30" s="82">
        <v>114514000</v>
      </c>
      <c r="I30" s="82">
        <v>114514000</v>
      </c>
      <c r="J30" s="82">
        <v>20000000</v>
      </c>
      <c r="K30" s="62"/>
      <c r="L30" s="64"/>
      <c r="M30" s="62"/>
      <c r="S30" s="62"/>
      <c r="T30" s="62"/>
    </row>
    <row r="31" spans="1:20">
      <c r="A31" s="63"/>
      <c r="B31" s="64"/>
      <c r="C31" s="73"/>
      <c r="D31" s="73" t="s">
        <v>50</v>
      </c>
      <c r="E31" s="73">
        <v>2027</v>
      </c>
      <c r="F31" s="19" t="s">
        <v>53</v>
      </c>
      <c r="G31" s="82">
        <v>192666316</v>
      </c>
      <c r="H31" s="82">
        <v>106498000</v>
      </c>
      <c r="I31" s="82">
        <v>106498000</v>
      </c>
      <c r="J31" s="82">
        <v>20000000</v>
      </c>
      <c r="K31" s="62"/>
      <c r="L31" s="64"/>
      <c r="M31" s="62"/>
      <c r="S31" s="62"/>
      <c r="T31" s="62"/>
    </row>
    <row r="32" spans="1:20">
      <c r="A32" s="63"/>
      <c r="B32" s="64"/>
      <c r="C32" s="73"/>
      <c r="D32" s="73" t="s">
        <v>52</v>
      </c>
      <c r="E32" s="73">
        <v>2028</v>
      </c>
      <c r="F32" s="19" t="s">
        <v>55</v>
      </c>
      <c r="G32" s="82">
        <v>192666316</v>
      </c>
      <c r="H32" s="82">
        <v>99043000</v>
      </c>
      <c r="I32" s="82">
        <v>99043000</v>
      </c>
      <c r="J32" s="82">
        <v>20000000</v>
      </c>
      <c r="K32" s="62"/>
      <c r="L32" s="64"/>
      <c r="M32" s="62"/>
      <c r="S32" s="62"/>
      <c r="T32" s="62"/>
    </row>
    <row r="33" spans="1:20">
      <c r="A33" s="63"/>
      <c r="B33" s="64"/>
      <c r="C33" s="73"/>
      <c r="D33" s="73" t="s">
        <v>54</v>
      </c>
      <c r="E33" s="73">
        <v>2029</v>
      </c>
      <c r="F33" s="19" t="s">
        <v>57</v>
      </c>
      <c r="G33" s="82">
        <v>192666316</v>
      </c>
      <c r="H33" s="82">
        <v>92110000</v>
      </c>
      <c r="I33" s="82">
        <v>92110000</v>
      </c>
      <c r="J33" s="82">
        <v>20000000</v>
      </c>
      <c r="K33" s="62"/>
      <c r="L33" s="64"/>
      <c r="M33" s="62"/>
      <c r="S33" s="62"/>
      <c r="T33" s="62"/>
    </row>
    <row r="34" spans="1:20">
      <c r="A34" s="84"/>
      <c r="B34" s="85"/>
      <c r="C34" s="73"/>
      <c r="D34" s="73" t="s">
        <v>56</v>
      </c>
      <c r="E34" s="73">
        <v>2030</v>
      </c>
      <c r="F34" s="19" t="s">
        <v>59</v>
      </c>
      <c r="G34" s="82">
        <v>192666316</v>
      </c>
      <c r="H34" s="82">
        <v>82899000</v>
      </c>
      <c r="I34" s="82">
        <v>82899000</v>
      </c>
      <c r="J34" s="82">
        <v>82899000</v>
      </c>
      <c r="K34" s="62"/>
      <c r="L34" s="64"/>
      <c r="M34" s="62"/>
      <c r="S34" s="62"/>
      <c r="T34" s="62"/>
    </row>
    <row r="35" spans="1:20">
      <c r="A35" s="63"/>
      <c r="B35" s="64"/>
      <c r="C35" s="73"/>
      <c r="D35" s="73" t="s">
        <v>58</v>
      </c>
      <c r="E35" s="73">
        <v>2031</v>
      </c>
      <c r="F35" s="19" t="s">
        <v>61</v>
      </c>
      <c r="G35" s="82">
        <v>192666316</v>
      </c>
      <c r="H35" s="82">
        <v>74609000</v>
      </c>
      <c r="I35" s="82">
        <v>74609000</v>
      </c>
      <c r="J35" s="82">
        <v>74609000</v>
      </c>
      <c r="K35" s="62"/>
      <c r="L35" s="64"/>
      <c r="M35" s="62"/>
      <c r="S35" s="62"/>
      <c r="T35" s="62"/>
    </row>
    <row r="36" spans="1:20">
      <c r="A36" s="63"/>
      <c r="B36" s="64"/>
      <c r="C36" s="73"/>
      <c r="D36" s="73" t="s">
        <v>60</v>
      </c>
      <c r="E36" s="73">
        <v>2032</v>
      </c>
      <c r="F36" s="19" t="s">
        <v>63</v>
      </c>
      <c r="G36" s="82">
        <v>192666316</v>
      </c>
      <c r="H36" s="82">
        <v>67148000</v>
      </c>
      <c r="I36" s="82">
        <v>67148000</v>
      </c>
      <c r="J36" s="82">
        <v>67148000</v>
      </c>
      <c r="K36" s="62"/>
      <c r="L36" s="64"/>
      <c r="M36" s="62"/>
      <c r="S36" s="62"/>
      <c r="T36" s="62"/>
    </row>
    <row r="37" spans="1:20">
      <c r="A37" s="63"/>
      <c r="B37" s="64"/>
      <c r="C37" s="73"/>
      <c r="D37" s="73" t="s">
        <v>62</v>
      </c>
      <c r="E37" s="73">
        <v>2033</v>
      </c>
      <c r="F37" s="19" t="s">
        <v>65</v>
      </c>
      <c r="G37" s="82">
        <v>192666316</v>
      </c>
      <c r="H37" s="82">
        <v>60433000</v>
      </c>
      <c r="I37" s="82">
        <v>60433000</v>
      </c>
      <c r="J37" s="82">
        <v>60433000</v>
      </c>
      <c r="K37" s="62"/>
      <c r="L37" s="64"/>
      <c r="M37" s="62"/>
      <c r="S37" s="62"/>
      <c r="T37" s="62"/>
    </row>
    <row r="38" spans="1:20">
      <c r="A38" s="63"/>
      <c r="B38" s="64"/>
      <c r="C38" s="73"/>
      <c r="D38" s="73" t="s">
        <v>64</v>
      </c>
      <c r="E38" s="73">
        <v>2034</v>
      </c>
      <c r="F38" s="19" t="s">
        <v>66</v>
      </c>
      <c r="G38" s="82">
        <v>192666316</v>
      </c>
      <c r="H38" s="82">
        <v>54390000</v>
      </c>
      <c r="I38" s="82">
        <v>54390000</v>
      </c>
      <c r="J38" s="82">
        <v>54390000</v>
      </c>
      <c r="K38" s="62"/>
      <c r="L38" s="64"/>
      <c r="M38" s="62"/>
      <c r="S38" s="62"/>
      <c r="T38" s="62"/>
    </row>
    <row r="39" spans="1:20">
      <c r="A39" s="63"/>
      <c r="B39" s="64"/>
      <c r="C39" s="73"/>
      <c r="D39" s="73"/>
      <c r="E39" s="73">
        <v>2035</v>
      </c>
      <c r="F39" s="19" t="s">
        <v>67</v>
      </c>
      <c r="G39" s="82"/>
      <c r="H39" s="82"/>
      <c r="I39" s="82"/>
      <c r="J39" s="82"/>
      <c r="K39" s="62"/>
      <c r="L39" s="64"/>
      <c r="M39" s="62"/>
      <c r="S39" s="62"/>
      <c r="T39" s="62"/>
    </row>
    <row r="40" spans="1:20">
      <c r="A40" s="63"/>
      <c r="B40" s="64"/>
      <c r="C40" s="73"/>
      <c r="D40" s="73"/>
      <c r="E40" s="73">
        <v>2036</v>
      </c>
      <c r="F40" s="19" t="s">
        <v>68</v>
      </c>
      <c r="G40" s="82"/>
      <c r="H40" s="82"/>
      <c r="I40" s="82"/>
      <c r="J40" s="82"/>
      <c r="K40" s="62"/>
      <c r="L40" s="64"/>
      <c r="M40" s="62"/>
      <c r="S40" s="62"/>
      <c r="T40" s="62"/>
    </row>
    <row r="41" spans="1:20">
      <c r="A41" s="63"/>
      <c r="B41" s="64"/>
      <c r="C41" s="73"/>
      <c r="D41" s="73"/>
      <c r="E41" s="73">
        <v>2037</v>
      </c>
      <c r="F41" s="19" t="s">
        <v>69</v>
      </c>
      <c r="G41" s="82"/>
      <c r="H41" s="82"/>
      <c r="I41" s="82"/>
      <c r="J41" s="82"/>
      <c r="K41" s="62"/>
      <c r="L41" s="64"/>
      <c r="M41" s="62"/>
      <c r="S41" s="62"/>
      <c r="T41" s="62"/>
    </row>
    <row r="42" spans="1:20">
      <c r="A42" s="63"/>
      <c r="B42" s="64"/>
      <c r="C42" s="73"/>
      <c r="D42" s="73"/>
      <c r="E42" s="73">
        <v>2038</v>
      </c>
      <c r="F42" s="19" t="s">
        <v>70</v>
      </c>
      <c r="G42" s="82"/>
      <c r="H42" s="82"/>
      <c r="I42" s="82"/>
      <c r="J42" s="82"/>
      <c r="K42" s="62"/>
      <c r="L42" s="64"/>
      <c r="M42" s="62"/>
      <c r="S42" s="62"/>
      <c r="T42" s="62"/>
    </row>
    <row r="43" spans="1:20">
      <c r="A43" s="63"/>
      <c r="B43" s="64"/>
      <c r="C43" s="73"/>
      <c r="D43" s="73"/>
      <c r="E43" s="73">
        <v>2039</v>
      </c>
      <c r="F43" s="19" t="s">
        <v>100</v>
      </c>
      <c r="G43" s="82"/>
      <c r="H43" s="82"/>
      <c r="I43" s="82"/>
      <c r="J43" s="82"/>
      <c r="K43" s="62"/>
      <c r="L43" s="64"/>
      <c r="M43" s="62"/>
      <c r="S43" s="62"/>
      <c r="T43" s="62"/>
    </row>
    <row r="44" spans="1:20">
      <c r="A44" s="63"/>
      <c r="B44" s="64"/>
      <c r="C44" s="73"/>
      <c r="D44" s="73"/>
      <c r="E44" s="73">
        <v>2040</v>
      </c>
      <c r="F44" s="19" t="s">
        <v>101</v>
      </c>
      <c r="G44" s="82"/>
      <c r="H44" s="82"/>
      <c r="I44" s="82"/>
      <c r="J44" s="82"/>
      <c r="K44" s="62"/>
      <c r="L44" s="64"/>
      <c r="M44" s="62"/>
      <c r="S44" s="62"/>
      <c r="T44" s="62"/>
    </row>
    <row r="45" spans="1:20">
      <c r="A45" s="63"/>
      <c r="B45" s="64"/>
      <c r="C45" s="73"/>
      <c r="D45" s="73"/>
      <c r="E45" s="73">
        <v>2041</v>
      </c>
      <c r="F45" s="19" t="s">
        <v>102</v>
      </c>
      <c r="G45" s="82"/>
      <c r="H45" s="82"/>
      <c r="I45" s="82"/>
      <c r="J45" s="82"/>
      <c r="K45" s="62"/>
      <c r="L45" s="64"/>
      <c r="M45" s="62"/>
      <c r="S45" s="62"/>
      <c r="T45" s="62"/>
    </row>
    <row r="46" spans="1:20">
      <c r="A46" s="63"/>
      <c r="B46" s="64"/>
      <c r="C46" s="73"/>
      <c r="D46" s="73"/>
      <c r="E46" s="73">
        <v>2042</v>
      </c>
      <c r="F46" s="19" t="s">
        <v>103</v>
      </c>
      <c r="G46" s="82"/>
      <c r="H46" s="82"/>
      <c r="I46" s="82"/>
      <c r="J46" s="82"/>
      <c r="K46" s="62"/>
      <c r="L46" s="64"/>
      <c r="M46" s="62"/>
      <c r="S46" s="62"/>
      <c r="T46" s="62"/>
    </row>
    <row r="47" spans="1:20">
      <c r="A47" s="63"/>
      <c r="B47" s="64"/>
      <c r="C47" s="73"/>
      <c r="D47" s="73"/>
      <c r="E47" s="73"/>
      <c r="F47" s="19"/>
      <c r="G47" s="18"/>
      <c r="H47" s="18"/>
      <c r="I47" s="18"/>
      <c r="J47" s="18"/>
      <c r="K47" s="62"/>
      <c r="L47" s="64"/>
      <c r="M47" s="62"/>
      <c r="S47" s="62"/>
      <c r="T47" s="62"/>
    </row>
    <row r="48" spans="1:20">
      <c r="A48" s="63" t="s">
        <v>136</v>
      </c>
      <c r="B48" s="64"/>
      <c r="C48" s="73"/>
      <c r="D48" s="73"/>
      <c r="E48" s="73"/>
      <c r="F48" s="73"/>
      <c r="G48" s="62"/>
      <c r="H48" s="62"/>
      <c r="I48" s="62"/>
      <c r="J48" s="62"/>
      <c r="K48" s="62"/>
      <c r="L48" s="64"/>
      <c r="M48" s="62"/>
      <c r="N48" s="62"/>
      <c r="O48" s="62"/>
      <c r="P48" s="62"/>
      <c r="Q48" s="62"/>
      <c r="R48" s="62"/>
      <c r="S48" s="62"/>
      <c r="T48" s="62"/>
    </row>
    <row r="49" spans="1:23">
      <c r="A49" s="63" t="s">
        <v>137</v>
      </c>
      <c r="B49" s="64"/>
      <c r="C49" s="73"/>
      <c r="D49" s="73"/>
      <c r="E49" s="73"/>
      <c r="F49" s="73"/>
      <c r="G49" s="62"/>
      <c r="H49" s="62"/>
      <c r="I49" s="62"/>
      <c r="J49" s="62"/>
      <c r="K49" s="62"/>
      <c r="L49" s="64"/>
      <c r="M49" s="62"/>
      <c r="N49" s="62"/>
      <c r="O49" s="62"/>
      <c r="P49" s="62"/>
      <c r="Q49" s="62"/>
      <c r="R49" s="62"/>
      <c r="S49" s="62"/>
      <c r="T49" s="62"/>
    </row>
    <row r="50" spans="1:23">
      <c r="A50" s="63" t="s">
        <v>138</v>
      </c>
      <c r="B50" s="64"/>
      <c r="C50" s="73"/>
      <c r="D50" s="73"/>
      <c r="E50" s="86"/>
      <c r="F50" s="86"/>
      <c r="G50" s="86"/>
      <c r="H50" s="86"/>
      <c r="I50" s="86"/>
      <c r="J50" s="86"/>
      <c r="K50" s="62"/>
      <c r="L50" s="64"/>
      <c r="M50" s="62"/>
      <c r="N50" s="62"/>
      <c r="O50" s="62"/>
      <c r="P50" s="62"/>
      <c r="Q50" s="62"/>
      <c r="R50" s="62"/>
      <c r="S50" s="62"/>
      <c r="T50" s="62"/>
    </row>
    <row r="51" spans="1:23">
      <c r="A51" s="63"/>
      <c r="B51" s="64" t="s">
        <v>139</v>
      </c>
      <c r="C51" s="73"/>
      <c r="D51" s="73"/>
      <c r="E51" s="86"/>
      <c r="F51" s="86"/>
      <c r="G51" s="86"/>
      <c r="H51" s="86"/>
      <c r="I51" s="86"/>
      <c r="J51" s="86"/>
      <c r="K51" s="62"/>
      <c r="L51" s="64"/>
      <c r="M51" s="62"/>
      <c r="N51" s="62"/>
      <c r="O51" s="62"/>
      <c r="P51" s="62"/>
      <c r="Q51" s="62"/>
      <c r="R51" s="62"/>
      <c r="S51" s="62"/>
      <c r="T51" s="62"/>
    </row>
    <row r="52" spans="1:23">
      <c r="A52" s="63"/>
      <c r="B52" s="64" t="s">
        <v>140</v>
      </c>
      <c r="C52" s="73"/>
      <c r="D52" s="73"/>
      <c r="E52" s="87"/>
      <c r="F52" s="87"/>
      <c r="G52" s="87"/>
      <c r="H52" s="87"/>
      <c r="I52" s="87"/>
      <c r="J52" s="87"/>
      <c r="K52" s="62"/>
      <c r="L52" s="64"/>
      <c r="M52" s="62"/>
      <c r="N52" s="62"/>
      <c r="O52" s="62"/>
      <c r="P52" s="62"/>
      <c r="Q52" s="62"/>
      <c r="R52" s="62"/>
      <c r="S52" s="62"/>
      <c r="T52" s="62"/>
    </row>
    <row r="53" spans="1:23" ht="15" customHeight="1">
      <c r="A53" s="63" t="s">
        <v>141</v>
      </c>
      <c r="B53" s="64"/>
      <c r="C53" s="73"/>
      <c r="D53" s="73"/>
      <c r="E53" s="86"/>
      <c r="F53" s="86"/>
      <c r="G53" s="86"/>
      <c r="H53" s="86"/>
      <c r="I53" s="86"/>
      <c r="J53" s="86"/>
      <c r="K53" s="62"/>
      <c r="L53" s="64"/>
      <c r="M53" s="62"/>
      <c r="N53" s="62"/>
      <c r="O53" s="62"/>
      <c r="P53" s="62"/>
      <c r="Q53" s="62"/>
      <c r="R53" s="62"/>
      <c r="S53" s="62"/>
      <c r="T53" s="62"/>
    </row>
    <row r="54" spans="1:23">
      <c r="A54" s="88" t="s">
        <v>142</v>
      </c>
      <c r="B54" s="89"/>
      <c r="C54" s="73"/>
      <c r="D54" s="73"/>
      <c r="E54" s="20"/>
      <c r="F54" s="20"/>
      <c r="G54" s="20"/>
      <c r="H54" s="20"/>
      <c r="I54" s="20"/>
      <c r="J54" s="20"/>
      <c r="K54" s="20"/>
      <c r="L54" s="69"/>
      <c r="M54" s="62"/>
      <c r="N54" s="62"/>
      <c r="O54" s="62"/>
      <c r="P54" s="62"/>
      <c r="Q54" s="62"/>
      <c r="R54" s="62"/>
      <c r="S54" s="62"/>
      <c r="T54" s="62"/>
      <c r="U54" s="62"/>
      <c r="V54" s="62"/>
      <c r="W54" s="62"/>
    </row>
    <row r="55" spans="1:23">
      <c r="A55" s="90" t="s">
        <v>143</v>
      </c>
      <c r="B55" s="91"/>
      <c r="C55" s="73"/>
      <c r="D55" s="73"/>
      <c r="E55" s="20"/>
      <c r="F55" s="20"/>
      <c r="G55" s="20"/>
      <c r="H55" s="20"/>
      <c r="I55" s="20"/>
      <c r="J55" s="20"/>
      <c r="K55" s="20"/>
      <c r="L55" s="69"/>
      <c r="M55" s="62"/>
      <c r="N55" s="62"/>
      <c r="O55" s="62"/>
      <c r="P55" s="62"/>
      <c r="Q55" s="62"/>
      <c r="R55" s="62"/>
      <c r="S55" s="62"/>
      <c r="T55" s="62"/>
      <c r="U55" s="62"/>
      <c r="V55" s="62"/>
      <c r="W55" s="62"/>
    </row>
    <row r="56" spans="1:23">
      <c r="A56" s="63"/>
      <c r="B56" s="64" t="s">
        <v>144</v>
      </c>
      <c r="C56" s="73"/>
      <c r="D56" s="73"/>
      <c r="E56" s="20"/>
      <c r="F56" s="20"/>
      <c r="G56" s="20"/>
      <c r="H56" s="20"/>
      <c r="I56" s="20"/>
      <c r="J56" s="20"/>
      <c r="K56" s="20"/>
      <c r="L56" s="69"/>
      <c r="M56" s="62"/>
      <c r="N56" s="62"/>
      <c r="O56" s="62"/>
      <c r="P56" s="62"/>
      <c r="Q56" s="62"/>
      <c r="R56" s="62"/>
      <c r="S56" s="62"/>
      <c r="T56" s="62"/>
      <c r="U56" s="62"/>
      <c r="V56" s="62"/>
      <c r="W56" s="62"/>
    </row>
    <row r="57" spans="1:23">
      <c r="A57" s="90"/>
      <c r="B57" s="91"/>
      <c r="C57" s="73"/>
      <c r="D57" s="73"/>
      <c r="E57" s="20"/>
      <c r="F57" s="20"/>
      <c r="G57" s="20"/>
      <c r="H57" s="20"/>
      <c r="I57" s="20"/>
      <c r="J57" s="20"/>
      <c r="K57" s="20"/>
      <c r="L57" s="69"/>
      <c r="M57" s="62"/>
      <c r="N57" s="62"/>
      <c r="O57" s="62"/>
      <c r="P57" s="62"/>
      <c r="Q57" s="62"/>
      <c r="R57" s="62"/>
      <c r="S57" s="62"/>
      <c r="T57" s="62"/>
      <c r="U57" s="62"/>
      <c r="V57" s="62"/>
      <c r="W57" s="62"/>
    </row>
    <row r="58" spans="1:23">
      <c r="A58" s="63"/>
      <c r="B58" s="64"/>
      <c r="C58" s="73"/>
      <c r="D58" s="73"/>
      <c r="E58" s="62"/>
      <c r="F58" s="62"/>
      <c r="G58" s="62"/>
      <c r="H58" s="62"/>
      <c r="I58" s="62"/>
      <c r="J58" s="62"/>
      <c r="K58" s="62"/>
      <c r="O58" s="62"/>
      <c r="P58" s="62"/>
      <c r="Q58" s="62"/>
      <c r="R58" s="62"/>
    </row>
    <row r="59" spans="1:23">
      <c r="A59" s="63"/>
      <c r="B59" s="64"/>
      <c r="C59" s="92"/>
      <c r="D59" s="92"/>
      <c r="E59" s="92"/>
      <c r="F59" s="92"/>
      <c r="G59" s="31" t="s">
        <v>145</v>
      </c>
      <c r="H59" s="18"/>
      <c r="I59" s="62"/>
      <c r="J59" s="62"/>
      <c r="K59" s="62"/>
      <c r="O59" s="62"/>
      <c r="P59" s="62"/>
      <c r="Q59" s="62"/>
      <c r="R59" s="62"/>
    </row>
    <row r="60" spans="1:23">
      <c r="A60" s="63"/>
      <c r="B60" s="64"/>
      <c r="C60" s="92"/>
      <c r="D60" s="92"/>
      <c r="E60" s="92"/>
      <c r="F60" s="92"/>
      <c r="G60" s="35" t="s">
        <v>146</v>
      </c>
      <c r="H60" s="18"/>
      <c r="I60" s="62"/>
      <c r="J60" s="62"/>
      <c r="K60" s="62"/>
    </row>
    <row r="61" spans="1:23">
      <c r="A61" s="63"/>
      <c r="B61" s="64"/>
      <c r="C61" s="92"/>
      <c r="D61" s="92"/>
      <c r="E61" s="92"/>
      <c r="F61" s="92"/>
      <c r="G61" s="93" t="s">
        <v>147</v>
      </c>
      <c r="H61" s="62"/>
      <c r="I61" s="62"/>
      <c r="J61" s="62"/>
      <c r="K61" s="62"/>
    </row>
    <row r="62" spans="1:23">
      <c r="A62" s="63"/>
      <c r="B62" s="64"/>
      <c r="C62" s="73"/>
      <c r="D62" s="73"/>
      <c r="E62" s="62"/>
      <c r="F62" s="92"/>
      <c r="G62" s="93" t="s">
        <v>83</v>
      </c>
      <c r="H62" s="62"/>
      <c r="I62" s="62"/>
      <c r="J62" s="62"/>
      <c r="K62" s="62"/>
    </row>
    <row r="63" spans="1:23">
      <c r="A63" s="63"/>
      <c r="B63" s="64"/>
      <c r="C63" s="73"/>
      <c r="D63" s="73"/>
      <c r="E63" s="62"/>
      <c r="F63" s="62"/>
      <c r="G63" s="77" t="s">
        <v>84</v>
      </c>
      <c r="H63" s="62"/>
      <c r="I63" s="62"/>
      <c r="J63" s="62"/>
      <c r="K63" s="62"/>
    </row>
    <row r="64" spans="1:23">
      <c r="A64" s="63"/>
      <c r="B64" s="64"/>
      <c r="C64" s="73"/>
      <c r="D64" s="73"/>
      <c r="E64" s="62"/>
      <c r="F64" s="62"/>
      <c r="G64" s="62"/>
      <c r="H64" s="62"/>
      <c r="I64" s="62"/>
      <c r="J64" s="62"/>
      <c r="K64" s="94" t="s">
        <v>148</v>
      </c>
    </row>
  </sheetData>
  <dataValidations count="1">
    <dataValidation type="list" allowBlank="1" showInputMessage="1" showErrorMessage="1" sqref="I11" xr:uid="{D042B010-7E3D-42F0-B315-64CE49342780}">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D4EDB-235A-4B53-9AD3-E184A3F2C7E7}">
  <sheetPr>
    <tabColor theme="4" tint="0.59999389629810485"/>
  </sheetPr>
  <dimension ref="A1:AZ545"/>
  <sheetViews>
    <sheetView workbookViewId="0"/>
  </sheetViews>
  <sheetFormatPr defaultColWidth="10.5703125" defaultRowHeight="15"/>
  <cols>
    <col min="1" max="1" width="23.5703125" customWidth="1"/>
    <col min="2" max="2" width="81" customWidth="1"/>
    <col min="3" max="3" width="20.5703125" style="113" hidden="1" customWidth="1"/>
    <col min="4" max="4" width="2.5703125" style="114" hidden="1" customWidth="1"/>
    <col min="5" max="5" width="20.5703125" customWidth="1"/>
    <col min="6" max="6" width="2.5703125" customWidth="1"/>
    <col min="7" max="7" width="20.5703125" hidden="1" customWidth="1"/>
    <col min="8" max="8" width="2.5703125" style="115" hidden="1" customWidth="1"/>
    <col min="9" max="9" width="20.5703125" hidden="1" customWidth="1"/>
    <col min="10" max="10" width="10.7109375" style="116" hidden="1" customWidth="1"/>
    <col min="11" max="11" width="20.5703125" customWidth="1"/>
    <col min="12" max="12" width="2.5703125" style="115" customWidth="1"/>
    <col min="13" max="13" width="20.5703125" customWidth="1"/>
    <col min="14" max="14" width="2.5703125" style="115" customWidth="1"/>
    <col min="15" max="15" width="20.5703125" customWidth="1"/>
    <col min="16" max="16" width="2.5703125" style="115" customWidth="1"/>
    <col min="17" max="17" width="20.5703125" customWidth="1"/>
    <col min="18" max="18" width="2.5703125" style="115" customWidth="1"/>
    <col min="19" max="19" width="20.5703125" customWidth="1"/>
    <col min="20" max="20" width="2.5703125" style="115" customWidth="1"/>
    <col min="21" max="21" width="17.140625" customWidth="1"/>
    <col min="22" max="22" width="30.5703125" style="117" customWidth="1"/>
    <col min="23" max="23" width="18.5703125" customWidth="1"/>
    <col min="24" max="24" width="19.85546875" customWidth="1"/>
    <col min="25" max="25" width="24.5703125" customWidth="1"/>
    <col min="26" max="26" width="30.5703125" customWidth="1"/>
    <col min="27" max="27" width="17" customWidth="1"/>
    <col min="28" max="28" width="16.5703125" hidden="1" customWidth="1"/>
    <col min="29" max="29" width="18.42578125" customWidth="1"/>
    <col min="30" max="32" width="17.5703125" customWidth="1"/>
    <col min="33" max="33" width="16" customWidth="1"/>
    <col min="34" max="34" width="16.42578125" customWidth="1"/>
  </cols>
  <sheetData>
    <row r="1" spans="1:24" s="97" customFormat="1" ht="15.75">
      <c r="A1" s="95" t="s">
        <v>150</v>
      </c>
      <c r="B1" s="96" t="str">
        <f>IF(ISNA([1]DE1!C1),0,[1]DE1!C1)</f>
        <v>SKIDMORE-TYNAN ISD</v>
      </c>
      <c r="D1" s="98"/>
      <c r="E1" s="99" t="s">
        <v>151</v>
      </c>
      <c r="H1" s="100"/>
      <c r="J1" s="98"/>
      <c r="L1" s="100"/>
      <c r="M1"/>
      <c r="N1" s="100"/>
      <c r="P1" s="100"/>
      <c r="R1" s="100"/>
      <c r="S1" s="101" t="s">
        <v>152</v>
      </c>
      <c r="T1" s="100"/>
      <c r="V1" s="102"/>
    </row>
    <row r="2" spans="1:24" s="97" customFormat="1" ht="15.75">
      <c r="A2" s="95" t="s">
        <v>153</v>
      </c>
      <c r="B2" s="464" t="s">
        <v>503</v>
      </c>
      <c r="D2" s="98"/>
      <c r="E2" s="103" t="s">
        <v>154</v>
      </c>
      <c r="H2" s="100"/>
      <c r="J2" s="98"/>
      <c r="L2" s="100"/>
      <c r="M2"/>
      <c r="N2" s="100"/>
      <c r="P2" s="100"/>
      <c r="R2" s="100"/>
      <c r="S2" s="474">
        <v>43955</v>
      </c>
      <c r="T2" s="100"/>
      <c r="V2" s="102"/>
      <c r="X2" s="95"/>
    </row>
    <row r="3" spans="1:24" s="97" customFormat="1" ht="15.75">
      <c r="A3" s="95" t="s">
        <v>155</v>
      </c>
      <c r="B3" s="104">
        <f ca="1">NOW()</f>
        <v>44051.812093865738</v>
      </c>
      <c r="D3" s="98"/>
      <c r="E3" s="105"/>
      <c r="H3" s="100"/>
      <c r="J3" s="98"/>
      <c r="L3" s="100"/>
      <c r="M3" s="106"/>
      <c r="N3" s="100"/>
      <c r="P3" s="100"/>
      <c r="R3" s="100"/>
      <c r="S3" s="107"/>
      <c r="T3" s="100"/>
      <c r="V3" s="102"/>
      <c r="X3" s="108"/>
    </row>
    <row r="4" spans="1:24" s="97" customFormat="1" ht="15.75">
      <c r="A4" s="95" t="s">
        <v>156</v>
      </c>
      <c r="B4" s="475"/>
      <c r="D4" s="98"/>
      <c r="E4" s="109" t="s">
        <v>157</v>
      </c>
      <c r="H4" s="100"/>
      <c r="J4" s="98"/>
      <c r="L4" s="100"/>
      <c r="N4" s="100"/>
      <c r="P4" s="100"/>
      <c r="R4" s="100"/>
      <c r="T4" s="100"/>
      <c r="V4" s="110"/>
    </row>
    <row r="5" spans="1:24" ht="19.5">
      <c r="A5" s="111" t="s">
        <v>504</v>
      </c>
      <c r="B5" s="112"/>
    </row>
    <row r="7" spans="1:24" s="123" customFormat="1" ht="18">
      <c r="A7" s="118" t="s">
        <v>158</v>
      </c>
      <c r="B7" s="119"/>
      <c r="C7" s="120"/>
      <c r="D7" s="121"/>
      <c r="E7"/>
      <c r="F7"/>
      <c r="G7"/>
      <c r="H7" s="122"/>
      <c r="J7" s="124"/>
      <c r="L7" s="122"/>
      <c r="N7" s="122"/>
      <c r="P7" s="122"/>
      <c r="R7" s="122"/>
      <c r="T7" s="122"/>
      <c r="V7" s="125"/>
    </row>
    <row r="8" spans="1:24">
      <c r="A8" s="126" t="s">
        <v>159</v>
      </c>
    </row>
    <row r="10" spans="1:24" ht="15.75">
      <c r="A10" s="102" t="s">
        <v>160</v>
      </c>
      <c r="G10" s="47"/>
      <c r="I10" s="47"/>
      <c r="K10" s="47"/>
    </row>
    <row r="11" spans="1:24" ht="12.75" customHeight="1">
      <c r="A11" s="102" t="s">
        <v>161</v>
      </c>
    </row>
    <row r="12" spans="1:24" ht="12.75" customHeight="1">
      <c r="A12" s="127" t="s">
        <v>162</v>
      </c>
    </row>
    <row r="13" spans="1:24" ht="12.75" customHeight="1">
      <c r="A13" s="128"/>
    </row>
    <row r="14" spans="1:24">
      <c r="E14" s="129"/>
      <c r="G14" s="47"/>
    </row>
    <row r="15" spans="1:24" ht="16.350000000000001" customHeight="1">
      <c r="A15" s="130" t="s">
        <v>163</v>
      </c>
      <c r="B15" s="131"/>
      <c r="C15" s="132"/>
      <c r="D15" s="133" t="s">
        <v>164</v>
      </c>
      <c r="E15" s="134"/>
      <c r="G15" s="135" t="s">
        <v>165</v>
      </c>
      <c r="H15"/>
      <c r="I15" s="135" t="s">
        <v>165</v>
      </c>
      <c r="L15"/>
      <c r="N15"/>
      <c r="P15"/>
      <c r="R15"/>
      <c r="T15" s="136"/>
      <c r="U15" s="111"/>
      <c r="W15" s="111"/>
    </row>
    <row r="16" spans="1:24" ht="16.350000000000001" customHeight="1">
      <c r="G16" s="476" t="s">
        <v>166</v>
      </c>
      <c r="H16"/>
      <c r="I16" s="476" t="s">
        <v>166</v>
      </c>
      <c r="L16"/>
      <c r="N16"/>
      <c r="P16"/>
      <c r="R16"/>
      <c r="T16" s="136"/>
    </row>
    <row r="17" spans="1:52" s="123" customFormat="1" ht="18">
      <c r="A17" s="137"/>
      <c r="B17" s="138" t="s">
        <v>167</v>
      </c>
      <c r="C17" s="139" t="s">
        <v>168</v>
      </c>
      <c r="D17" s="139"/>
      <c r="E17" s="140" t="s">
        <v>169</v>
      </c>
      <c r="F17" s="141"/>
      <c r="G17" s="140" t="s">
        <v>170</v>
      </c>
      <c r="H17" s="140"/>
      <c r="I17" s="140" t="s">
        <v>171</v>
      </c>
      <c r="J17" s="116"/>
      <c r="K17" s="140" t="s">
        <v>170</v>
      </c>
      <c r="L17" s="140"/>
      <c r="M17" s="140" t="s">
        <v>171</v>
      </c>
      <c r="N17" s="140"/>
      <c r="O17" s="140" t="s">
        <v>172</v>
      </c>
      <c r="P17" s="140"/>
      <c r="Q17" s="140" t="s">
        <v>173</v>
      </c>
      <c r="R17" s="140"/>
      <c r="S17" s="140" t="s">
        <v>174</v>
      </c>
      <c r="T17" s="142"/>
      <c r="V17" s="143"/>
    </row>
    <row r="18" spans="1:52" s="123" customFormat="1" ht="18">
      <c r="A18" s="144" t="s">
        <v>175</v>
      </c>
      <c r="B18" s="145"/>
      <c r="C18" s="477" t="s">
        <v>176</v>
      </c>
      <c r="D18" s="477"/>
      <c r="E18" s="478" t="s">
        <v>176</v>
      </c>
      <c r="F18" s="141"/>
      <c r="G18" s="478" t="s">
        <v>176</v>
      </c>
      <c r="H18" s="478"/>
      <c r="I18" s="478" t="s">
        <v>176</v>
      </c>
      <c r="J18" s="116"/>
      <c r="K18" s="478" t="s">
        <v>176</v>
      </c>
      <c r="L18" s="478"/>
      <c r="M18" s="478" t="s">
        <v>176</v>
      </c>
      <c r="N18" s="478"/>
      <c r="O18" s="478" t="s">
        <v>176</v>
      </c>
      <c r="P18" s="478"/>
      <c r="Q18" s="478" t="s">
        <v>176</v>
      </c>
      <c r="R18" s="478"/>
      <c r="S18" s="478" t="s">
        <v>176</v>
      </c>
      <c r="T18" s="142"/>
      <c r="V18" s="143"/>
    </row>
    <row r="19" spans="1:52" s="97" customFormat="1" ht="15" customHeight="1">
      <c r="A19" s="146" t="s">
        <v>177</v>
      </c>
      <c r="B19" s="147"/>
      <c r="C19" s="479">
        <v>0</v>
      </c>
      <c r="D19" s="148"/>
      <c r="E19" s="149">
        <v>0</v>
      </c>
      <c r="F19" s="141"/>
      <c r="G19" s="150"/>
      <c r="H19" s="151"/>
      <c r="I19" s="150"/>
      <c r="J19" s="141"/>
      <c r="K19" s="152">
        <v>0</v>
      </c>
      <c r="L19" s="151"/>
      <c r="M19" s="480">
        <f>K19</f>
        <v>0</v>
      </c>
      <c r="N19" s="151"/>
      <c r="O19" s="481">
        <f>M19</f>
        <v>0</v>
      </c>
      <c r="P19" s="151"/>
      <c r="Q19" s="482">
        <f>O19</f>
        <v>0</v>
      </c>
      <c r="R19" s="151"/>
      <c r="S19" s="483">
        <f>Q19</f>
        <v>0</v>
      </c>
      <c r="T19" s="151"/>
      <c r="U19" t="s">
        <v>178</v>
      </c>
      <c r="Y19" s="153"/>
      <c r="Z19" s="154"/>
      <c r="AZ19" s="123"/>
    </row>
    <row r="20" spans="1:52" s="97" customFormat="1" ht="15" customHeight="1">
      <c r="A20" s="155" t="s">
        <v>179</v>
      </c>
      <c r="B20" s="156"/>
      <c r="C20" s="157"/>
      <c r="D20" s="148"/>
      <c r="E20" s="158"/>
      <c r="F20" s="141"/>
      <c r="G20" s="150"/>
      <c r="H20" s="151"/>
      <c r="I20" s="150"/>
      <c r="J20" s="141"/>
      <c r="K20" s="159" t="s">
        <v>180</v>
      </c>
      <c r="L20" s="151"/>
      <c r="M20" s="160" t="str">
        <f>K20</f>
        <v>N</v>
      </c>
      <c r="N20" s="151"/>
      <c r="O20" s="161" t="str">
        <f>M20</f>
        <v>N</v>
      </c>
      <c r="P20" s="151"/>
      <c r="Q20" s="162" t="str">
        <f>O20</f>
        <v>N</v>
      </c>
      <c r="R20" s="151"/>
      <c r="S20" s="162" t="str">
        <f>Q20</f>
        <v>N</v>
      </c>
      <c r="T20" s="151"/>
      <c r="U20" s="128" t="s">
        <v>181</v>
      </c>
      <c r="V20" s="143"/>
      <c r="Y20" s="153"/>
      <c r="Z20" s="154"/>
      <c r="AZ20" s="123"/>
    </row>
    <row r="21" spans="1:52" s="97" customFormat="1" ht="15" customHeight="1">
      <c r="A21" s="146" t="s">
        <v>182</v>
      </c>
      <c r="B21" s="147"/>
      <c r="C21" s="157">
        <v>0</v>
      </c>
      <c r="D21" s="148"/>
      <c r="E21" s="149">
        <v>0</v>
      </c>
      <c r="F21" s="141"/>
      <c r="G21" s="484">
        <v>18676.169999999998</v>
      </c>
      <c r="H21" s="151"/>
      <c r="I21" s="484">
        <v>18676.169999999998</v>
      </c>
      <c r="J21" s="141"/>
      <c r="K21" s="152">
        <v>0</v>
      </c>
      <c r="L21" s="151"/>
      <c r="M21" s="480">
        <f t="shared" ref="M21:M38" si="0">K21</f>
        <v>0</v>
      </c>
      <c r="N21" s="151"/>
      <c r="O21" s="481">
        <f>M21</f>
        <v>0</v>
      </c>
      <c r="P21" s="151"/>
      <c r="Q21" s="482">
        <f>O21</f>
        <v>0</v>
      </c>
      <c r="R21" s="151"/>
      <c r="S21" s="483">
        <f>Q21</f>
        <v>0</v>
      </c>
      <c r="T21" s="151"/>
      <c r="U21" t="s">
        <v>183</v>
      </c>
      <c r="V21" s="110"/>
      <c r="Y21" s="153"/>
      <c r="Z21" s="154"/>
    </row>
    <row r="22" spans="1:52" s="97" customFormat="1" ht="15" customHeight="1">
      <c r="A22" s="163" t="s">
        <v>184</v>
      </c>
      <c r="B22" s="164"/>
      <c r="C22" s="165"/>
      <c r="D22" s="165"/>
      <c r="E22" s="166"/>
      <c r="F22" s="141"/>
      <c r="G22" s="166"/>
      <c r="H22" s="166"/>
      <c r="I22" s="166"/>
      <c r="J22" s="141"/>
      <c r="K22" s="166"/>
      <c r="L22" s="166"/>
      <c r="M22" s="166"/>
      <c r="N22" s="166"/>
      <c r="O22" s="166"/>
      <c r="P22" s="166"/>
      <c r="Q22" s="166"/>
      <c r="R22" s="166"/>
      <c r="S22" s="167"/>
      <c r="T22" s="168"/>
      <c r="V22" s="110"/>
      <c r="Y22" s="169"/>
      <c r="Z22" s="170"/>
    </row>
    <row r="23" spans="1:52" s="97" customFormat="1" ht="15" customHeight="1">
      <c r="A23" s="146" t="s">
        <v>185</v>
      </c>
      <c r="B23" s="171"/>
      <c r="C23" s="479">
        <v>0</v>
      </c>
      <c r="D23" s="148"/>
      <c r="E23" s="149">
        <v>0</v>
      </c>
      <c r="F23" s="141"/>
      <c r="G23" s="150"/>
      <c r="H23" s="151"/>
      <c r="I23" s="150"/>
      <c r="J23" s="141"/>
      <c r="K23" s="152">
        <v>0</v>
      </c>
      <c r="L23" s="151"/>
      <c r="M23" s="480">
        <f t="shared" si="0"/>
        <v>0</v>
      </c>
      <c r="N23" s="151"/>
      <c r="O23" s="481">
        <f>M23</f>
        <v>0</v>
      </c>
      <c r="P23" s="151"/>
      <c r="Q23" s="482">
        <f>O23</f>
        <v>0</v>
      </c>
      <c r="R23" s="151"/>
      <c r="S23" s="483">
        <f>Q23</f>
        <v>0</v>
      </c>
      <c r="T23" s="151"/>
      <c r="U23" t="s">
        <v>186</v>
      </c>
      <c r="V23" s="110"/>
      <c r="Y23" s="153"/>
      <c r="Z23" s="154"/>
    </row>
    <row r="24" spans="1:52" s="97" customFormat="1" ht="15" customHeight="1">
      <c r="A24" s="485" t="s">
        <v>187</v>
      </c>
      <c r="B24" s="486"/>
      <c r="C24" s="479">
        <v>0</v>
      </c>
      <c r="D24" s="148"/>
      <c r="E24" s="149">
        <v>0</v>
      </c>
      <c r="F24" s="141"/>
      <c r="G24" s="150"/>
      <c r="H24" s="151"/>
      <c r="I24" s="150"/>
      <c r="J24" s="141"/>
      <c r="K24" s="152">
        <v>0</v>
      </c>
      <c r="L24" s="151"/>
      <c r="M24" s="480">
        <f t="shared" si="0"/>
        <v>0</v>
      </c>
      <c r="N24" s="151"/>
      <c r="O24" s="481">
        <f t="shared" ref="O24:O70" si="1">M24</f>
        <v>0</v>
      </c>
      <c r="P24" s="151"/>
      <c r="Q24" s="482">
        <f t="shared" ref="Q24:S62" si="2">O24</f>
        <v>0</v>
      </c>
      <c r="R24" s="151"/>
      <c r="S24" s="483">
        <f t="shared" si="2"/>
        <v>0</v>
      </c>
      <c r="T24" s="151"/>
      <c r="U24" t="s">
        <v>188</v>
      </c>
      <c r="V24" s="110"/>
      <c r="Y24" s="153"/>
      <c r="Z24" s="154"/>
    </row>
    <row r="25" spans="1:52" s="97" customFormat="1" ht="15" customHeight="1">
      <c r="A25" s="146" t="s">
        <v>189</v>
      </c>
      <c r="B25" s="171"/>
      <c r="C25" s="479">
        <v>0</v>
      </c>
      <c r="D25" s="148"/>
      <c r="E25" s="149">
        <v>0</v>
      </c>
      <c r="F25" s="141"/>
      <c r="G25" s="150"/>
      <c r="H25" s="151"/>
      <c r="I25" s="150"/>
      <c r="J25" s="141"/>
      <c r="K25" s="152">
        <v>0</v>
      </c>
      <c r="L25" s="151"/>
      <c r="M25" s="480">
        <f t="shared" si="0"/>
        <v>0</v>
      </c>
      <c r="N25" s="151"/>
      <c r="O25" s="481">
        <f t="shared" si="1"/>
        <v>0</v>
      </c>
      <c r="P25" s="151"/>
      <c r="Q25" s="482">
        <f t="shared" si="2"/>
        <v>0</v>
      </c>
      <c r="R25" s="151"/>
      <c r="S25" s="483">
        <f t="shared" si="2"/>
        <v>0</v>
      </c>
      <c r="T25" s="151"/>
      <c r="U25" t="s">
        <v>190</v>
      </c>
      <c r="V25" s="110"/>
      <c r="Y25" s="153"/>
      <c r="Z25" s="154"/>
    </row>
    <row r="26" spans="1:52" s="97" customFormat="1" ht="15" customHeight="1">
      <c r="A26" s="146" t="s">
        <v>191</v>
      </c>
      <c r="B26" s="171"/>
      <c r="C26" s="479">
        <v>0</v>
      </c>
      <c r="D26" s="148"/>
      <c r="E26" s="149">
        <v>0</v>
      </c>
      <c r="F26" s="141"/>
      <c r="G26" s="150"/>
      <c r="H26" s="151"/>
      <c r="I26" s="150"/>
      <c r="J26" s="141"/>
      <c r="K26" s="152">
        <v>0</v>
      </c>
      <c r="L26" s="151"/>
      <c r="M26" s="480">
        <f t="shared" si="0"/>
        <v>0</v>
      </c>
      <c r="N26" s="151"/>
      <c r="O26" s="481">
        <f t="shared" si="1"/>
        <v>0</v>
      </c>
      <c r="P26" s="151"/>
      <c r="Q26" s="482">
        <f t="shared" si="2"/>
        <v>0</v>
      </c>
      <c r="R26" s="151"/>
      <c r="S26" s="483">
        <f t="shared" si="2"/>
        <v>0</v>
      </c>
      <c r="T26" s="151"/>
      <c r="U26" t="s">
        <v>192</v>
      </c>
      <c r="V26" s="110"/>
      <c r="Y26" s="153"/>
      <c r="Z26" s="154"/>
    </row>
    <row r="27" spans="1:52" s="97" customFormat="1" ht="15" customHeight="1">
      <c r="A27" s="146" t="s">
        <v>193</v>
      </c>
      <c r="B27" s="171"/>
      <c r="C27" s="479">
        <v>0</v>
      </c>
      <c r="D27" s="148"/>
      <c r="E27" s="149">
        <v>0</v>
      </c>
      <c r="F27" s="141"/>
      <c r="G27" s="150"/>
      <c r="H27" s="151"/>
      <c r="I27" s="150"/>
      <c r="J27" s="141"/>
      <c r="K27" s="152">
        <v>0</v>
      </c>
      <c r="L27" s="151"/>
      <c r="M27" s="480">
        <f t="shared" si="0"/>
        <v>0</v>
      </c>
      <c r="N27" s="151"/>
      <c r="O27" s="481">
        <f t="shared" si="1"/>
        <v>0</v>
      </c>
      <c r="P27" s="151"/>
      <c r="Q27" s="482">
        <f t="shared" si="2"/>
        <v>0</v>
      </c>
      <c r="R27" s="151"/>
      <c r="S27" s="483">
        <f t="shared" si="2"/>
        <v>0</v>
      </c>
      <c r="T27" s="151"/>
      <c r="U27" t="s">
        <v>194</v>
      </c>
      <c r="V27" s="110"/>
      <c r="Y27" s="153"/>
      <c r="Z27" s="154"/>
    </row>
    <row r="28" spans="1:52" s="97" customFormat="1" ht="15" customHeight="1">
      <c r="A28" s="146" t="s">
        <v>195</v>
      </c>
      <c r="B28" s="171"/>
      <c r="C28" s="479">
        <v>0</v>
      </c>
      <c r="D28" s="148"/>
      <c r="E28" s="149">
        <v>0</v>
      </c>
      <c r="F28" s="141"/>
      <c r="G28" s="150"/>
      <c r="H28" s="151"/>
      <c r="I28" s="150"/>
      <c r="J28" s="141"/>
      <c r="K28" s="152">
        <v>0</v>
      </c>
      <c r="L28" s="151"/>
      <c r="M28" s="480">
        <f t="shared" si="0"/>
        <v>0</v>
      </c>
      <c r="N28" s="151"/>
      <c r="O28" s="481">
        <f t="shared" si="1"/>
        <v>0</v>
      </c>
      <c r="P28" s="151"/>
      <c r="Q28" s="482">
        <f t="shared" si="2"/>
        <v>0</v>
      </c>
      <c r="R28" s="151"/>
      <c r="S28" s="483">
        <f t="shared" si="2"/>
        <v>0</v>
      </c>
      <c r="T28" s="151"/>
      <c r="U28" t="s">
        <v>196</v>
      </c>
      <c r="V28" s="110"/>
      <c r="Y28" s="153"/>
      <c r="Z28" s="154"/>
    </row>
    <row r="29" spans="1:52" s="97" customFormat="1" ht="15" customHeight="1">
      <c r="A29" s="146" t="s">
        <v>197</v>
      </c>
      <c r="B29" s="171"/>
      <c r="C29" s="479">
        <v>0</v>
      </c>
      <c r="D29" s="148"/>
      <c r="E29" s="149">
        <v>0</v>
      </c>
      <c r="F29" s="141"/>
      <c r="G29" s="150"/>
      <c r="H29" s="151"/>
      <c r="I29" s="150"/>
      <c r="J29" s="141"/>
      <c r="K29" s="152">
        <v>0</v>
      </c>
      <c r="L29" s="151"/>
      <c r="M29" s="480">
        <f t="shared" si="0"/>
        <v>0</v>
      </c>
      <c r="N29" s="151"/>
      <c r="O29" s="481">
        <f t="shared" si="1"/>
        <v>0</v>
      </c>
      <c r="P29" s="151"/>
      <c r="Q29" s="482">
        <f t="shared" si="2"/>
        <v>0</v>
      </c>
      <c r="R29" s="151"/>
      <c r="S29" s="483">
        <f t="shared" si="2"/>
        <v>0</v>
      </c>
      <c r="T29" s="151"/>
      <c r="U29" t="s">
        <v>198</v>
      </c>
      <c r="V29" s="110"/>
      <c r="Y29" s="153"/>
      <c r="Z29" s="154"/>
    </row>
    <row r="30" spans="1:52" s="97" customFormat="1" ht="15" customHeight="1">
      <c r="A30" s="146" t="s">
        <v>199</v>
      </c>
      <c r="B30" s="171"/>
      <c r="C30" s="479">
        <v>0</v>
      </c>
      <c r="D30" s="148"/>
      <c r="E30" s="149">
        <v>0</v>
      </c>
      <c r="F30" s="141"/>
      <c r="G30" s="150"/>
      <c r="H30" s="151"/>
      <c r="I30" s="150"/>
      <c r="J30" s="141"/>
      <c r="K30" s="152">
        <v>0</v>
      </c>
      <c r="L30" s="151"/>
      <c r="M30" s="480">
        <f t="shared" si="0"/>
        <v>0</v>
      </c>
      <c r="N30" s="151"/>
      <c r="O30" s="481">
        <f t="shared" si="1"/>
        <v>0</v>
      </c>
      <c r="P30" s="151"/>
      <c r="Q30" s="482">
        <f t="shared" si="2"/>
        <v>0</v>
      </c>
      <c r="R30" s="151"/>
      <c r="S30" s="483">
        <f t="shared" si="2"/>
        <v>0</v>
      </c>
      <c r="T30" s="151"/>
      <c r="U30" t="s">
        <v>200</v>
      </c>
      <c r="V30" s="110"/>
      <c r="Y30" s="153"/>
      <c r="Z30" s="154"/>
    </row>
    <row r="31" spans="1:52" s="97" customFormat="1" ht="15" customHeight="1">
      <c r="A31" s="146" t="s">
        <v>201</v>
      </c>
      <c r="B31" s="171"/>
      <c r="C31" s="479">
        <v>0</v>
      </c>
      <c r="D31" s="148"/>
      <c r="E31" s="149">
        <v>0</v>
      </c>
      <c r="F31" s="141"/>
      <c r="G31" s="150"/>
      <c r="H31" s="151"/>
      <c r="I31" s="150"/>
      <c r="J31" s="141"/>
      <c r="K31" s="152">
        <v>0</v>
      </c>
      <c r="L31" s="151"/>
      <c r="M31" s="480">
        <f t="shared" si="0"/>
        <v>0</v>
      </c>
      <c r="N31" s="151"/>
      <c r="O31" s="481">
        <f t="shared" si="1"/>
        <v>0</v>
      </c>
      <c r="P31" s="151"/>
      <c r="Q31" s="482">
        <f t="shared" si="2"/>
        <v>0</v>
      </c>
      <c r="R31" s="151"/>
      <c r="S31" s="483">
        <f t="shared" si="2"/>
        <v>0</v>
      </c>
      <c r="T31" s="151"/>
      <c r="U31" t="s">
        <v>202</v>
      </c>
      <c r="V31" s="110"/>
      <c r="Y31" s="153"/>
      <c r="Z31" s="154"/>
    </row>
    <row r="32" spans="1:52" s="97" customFormat="1" ht="15" customHeight="1">
      <c r="A32" s="146" t="s">
        <v>203</v>
      </c>
      <c r="B32" s="171"/>
      <c r="C32" s="479">
        <v>0</v>
      </c>
      <c r="D32" s="148"/>
      <c r="E32" s="149">
        <v>0</v>
      </c>
      <c r="F32" s="141"/>
      <c r="G32" s="150"/>
      <c r="H32" s="151"/>
      <c r="I32" s="150"/>
      <c r="J32" s="141"/>
      <c r="K32" s="152">
        <v>0</v>
      </c>
      <c r="L32" s="151"/>
      <c r="M32" s="480">
        <f t="shared" si="0"/>
        <v>0</v>
      </c>
      <c r="N32" s="151"/>
      <c r="O32" s="481">
        <f t="shared" si="1"/>
        <v>0</v>
      </c>
      <c r="P32" s="151"/>
      <c r="Q32" s="482">
        <f t="shared" si="2"/>
        <v>0</v>
      </c>
      <c r="R32" s="151"/>
      <c r="S32" s="483">
        <f t="shared" si="2"/>
        <v>0</v>
      </c>
      <c r="T32" s="151"/>
      <c r="U32" t="s">
        <v>204</v>
      </c>
      <c r="V32" s="110"/>
      <c r="Y32" s="153"/>
      <c r="Z32" s="154"/>
    </row>
    <row r="33" spans="1:26" s="97" customFormat="1" ht="15" hidden="1" customHeight="1">
      <c r="A33" s="146" t="s">
        <v>205</v>
      </c>
      <c r="B33" s="171"/>
      <c r="C33" s="479">
        <v>0</v>
      </c>
      <c r="D33" s="148"/>
      <c r="E33" s="172">
        <v>0</v>
      </c>
      <c r="F33" s="141"/>
      <c r="G33" s="150"/>
      <c r="H33" s="151"/>
      <c r="I33" s="150"/>
      <c r="J33" s="141"/>
      <c r="K33" s="152">
        <v>0</v>
      </c>
      <c r="L33" s="151"/>
      <c r="M33" s="480">
        <f t="shared" si="0"/>
        <v>0</v>
      </c>
      <c r="N33" s="151"/>
      <c r="O33" s="481">
        <f t="shared" si="1"/>
        <v>0</v>
      </c>
      <c r="P33" s="151"/>
      <c r="Q33" s="482">
        <f t="shared" si="2"/>
        <v>0</v>
      </c>
      <c r="R33" s="151"/>
      <c r="S33" s="483">
        <f t="shared" si="2"/>
        <v>0</v>
      </c>
      <c r="T33" s="151"/>
      <c r="U33" t="s">
        <v>206</v>
      </c>
      <c r="V33" s="110"/>
      <c r="Y33" s="153"/>
      <c r="Z33" s="154"/>
    </row>
    <row r="34" spans="1:26" s="97" customFormat="1" ht="15" customHeight="1">
      <c r="A34" s="146" t="s">
        <v>149</v>
      </c>
      <c r="B34" s="171"/>
      <c r="C34" s="479">
        <v>0</v>
      </c>
      <c r="D34" s="148"/>
      <c r="E34" s="149">
        <v>0</v>
      </c>
      <c r="F34" s="141"/>
      <c r="G34" s="150"/>
      <c r="H34" s="151"/>
      <c r="I34" s="150"/>
      <c r="J34" s="141"/>
      <c r="K34" s="152">
        <v>0</v>
      </c>
      <c r="L34" s="151"/>
      <c r="M34" s="480">
        <f t="shared" si="0"/>
        <v>0</v>
      </c>
      <c r="N34" s="151"/>
      <c r="O34" s="481">
        <f t="shared" si="1"/>
        <v>0</v>
      </c>
      <c r="P34" s="151"/>
      <c r="Q34" s="482">
        <f t="shared" si="2"/>
        <v>0</v>
      </c>
      <c r="R34" s="151"/>
      <c r="S34" s="483">
        <f t="shared" si="2"/>
        <v>0</v>
      </c>
      <c r="T34" s="151"/>
      <c r="U34" t="s">
        <v>207</v>
      </c>
      <c r="V34" s="110"/>
      <c r="Y34" s="153"/>
      <c r="Z34" s="154"/>
    </row>
    <row r="35" spans="1:26" s="97" customFormat="1" ht="15" customHeight="1">
      <c r="A35" s="173" t="s">
        <v>208</v>
      </c>
      <c r="B35" s="174"/>
      <c r="C35" s="487">
        <v>0</v>
      </c>
      <c r="D35" s="175"/>
      <c r="E35" s="176">
        <v>0</v>
      </c>
      <c r="F35" s="177"/>
      <c r="G35" s="178"/>
      <c r="H35" s="177"/>
      <c r="I35" s="178"/>
      <c r="J35" s="177"/>
      <c r="K35" s="179">
        <v>0</v>
      </c>
      <c r="L35" s="177"/>
      <c r="M35" s="488">
        <f t="shared" si="0"/>
        <v>0</v>
      </c>
      <c r="N35" s="177"/>
      <c r="O35" s="489">
        <f t="shared" si="1"/>
        <v>0</v>
      </c>
      <c r="P35" s="177"/>
      <c r="Q35" s="490">
        <f t="shared" si="2"/>
        <v>0</v>
      </c>
      <c r="R35" s="177"/>
      <c r="S35" s="491">
        <f t="shared" si="2"/>
        <v>0</v>
      </c>
      <c r="T35" s="151"/>
      <c r="U35" s="128" t="s">
        <v>209</v>
      </c>
      <c r="V35" s="110"/>
      <c r="Y35" s="153"/>
      <c r="Z35" s="154"/>
    </row>
    <row r="36" spans="1:26" s="97" customFormat="1" ht="15" customHeight="1">
      <c r="A36" s="173" t="s">
        <v>210</v>
      </c>
      <c r="B36" s="174"/>
      <c r="C36" s="487"/>
      <c r="D36" s="175"/>
      <c r="E36" s="158"/>
      <c r="F36" s="177"/>
      <c r="G36" s="178"/>
      <c r="H36" s="177"/>
      <c r="I36" s="178"/>
      <c r="J36" s="177"/>
      <c r="K36" s="179">
        <v>0</v>
      </c>
      <c r="L36" s="177"/>
      <c r="M36" s="488">
        <f>K36</f>
        <v>0</v>
      </c>
      <c r="N36" s="177"/>
      <c r="O36" s="489">
        <f>M36</f>
        <v>0</v>
      </c>
      <c r="P36" s="177"/>
      <c r="Q36" s="490">
        <f>O36</f>
        <v>0</v>
      </c>
      <c r="R36" s="177"/>
      <c r="S36" s="491">
        <f>Q36</f>
        <v>0</v>
      </c>
      <c r="T36" s="151"/>
      <c r="U36" s="128" t="s">
        <v>211</v>
      </c>
      <c r="V36" s="110"/>
      <c r="Y36" s="153"/>
      <c r="Z36" s="154"/>
    </row>
    <row r="37" spans="1:26" s="97" customFormat="1" ht="15" customHeight="1">
      <c r="A37" s="180" t="s">
        <v>212</v>
      </c>
      <c r="B37" s="181"/>
      <c r="C37" s="492">
        <v>0</v>
      </c>
      <c r="D37" s="182"/>
      <c r="E37" s="183">
        <v>0</v>
      </c>
      <c r="F37" s="184"/>
      <c r="G37" s="185"/>
      <c r="H37" s="184"/>
      <c r="I37" s="185"/>
      <c r="J37" s="184"/>
      <c r="K37" s="186">
        <v>0</v>
      </c>
      <c r="L37" s="184"/>
      <c r="M37" s="493">
        <f t="shared" si="0"/>
        <v>0</v>
      </c>
      <c r="N37" s="184"/>
      <c r="O37" s="494">
        <f t="shared" si="1"/>
        <v>0</v>
      </c>
      <c r="P37" s="184"/>
      <c r="Q37" s="495">
        <f t="shared" si="2"/>
        <v>0</v>
      </c>
      <c r="R37" s="184"/>
      <c r="S37" s="496">
        <f t="shared" si="2"/>
        <v>0</v>
      </c>
      <c r="T37" s="151"/>
      <c r="U37" s="187" t="s">
        <v>213</v>
      </c>
      <c r="V37" s="110"/>
      <c r="Y37" s="153"/>
      <c r="Z37" s="154"/>
    </row>
    <row r="38" spans="1:26" s="97" customFormat="1" ht="15" customHeight="1">
      <c r="A38" s="180" t="s">
        <v>214</v>
      </c>
      <c r="B38" s="188"/>
      <c r="C38" s="492"/>
      <c r="D38" s="182"/>
      <c r="E38" s="158"/>
      <c r="F38" s="184"/>
      <c r="G38" s="497"/>
      <c r="H38" s="184"/>
      <c r="I38" s="189"/>
      <c r="J38" s="184"/>
      <c r="K38" s="186">
        <v>0</v>
      </c>
      <c r="L38" s="184"/>
      <c r="M38" s="493">
        <f t="shared" si="0"/>
        <v>0</v>
      </c>
      <c r="N38" s="184"/>
      <c r="O38" s="494">
        <f t="shared" si="1"/>
        <v>0</v>
      </c>
      <c r="P38" s="184"/>
      <c r="Q38" s="495">
        <f t="shared" si="2"/>
        <v>0</v>
      </c>
      <c r="R38" s="184"/>
      <c r="S38" s="496">
        <f t="shared" si="2"/>
        <v>0</v>
      </c>
      <c r="T38" s="151"/>
      <c r="U38" s="187" t="s">
        <v>215</v>
      </c>
      <c r="V38" s="110"/>
      <c r="Y38" s="153"/>
      <c r="Z38" s="154"/>
    </row>
    <row r="39" spans="1:26" s="97" customFormat="1" ht="15" hidden="1" customHeight="1">
      <c r="A39" s="190" t="s">
        <v>216</v>
      </c>
      <c r="B39" s="100"/>
      <c r="C39" s="479">
        <v>0</v>
      </c>
      <c r="D39" s="148"/>
      <c r="E39" s="149">
        <v>0</v>
      </c>
      <c r="F39" s="141"/>
      <c r="G39" s="484">
        <v>0</v>
      </c>
      <c r="H39" s="151"/>
      <c r="I39" s="191"/>
      <c r="J39" s="141"/>
      <c r="K39" s="192">
        <v>0</v>
      </c>
      <c r="L39" s="151"/>
      <c r="M39" s="498">
        <f>G39</f>
        <v>0</v>
      </c>
      <c r="N39" s="151"/>
      <c r="O39" s="499">
        <f t="shared" si="1"/>
        <v>0</v>
      </c>
      <c r="P39" s="151"/>
      <c r="Q39" s="482">
        <f t="shared" si="2"/>
        <v>0</v>
      </c>
      <c r="R39" s="151"/>
      <c r="S39" s="483">
        <f t="shared" si="2"/>
        <v>0</v>
      </c>
      <c r="T39" s="151"/>
      <c r="U39" t="s">
        <v>217</v>
      </c>
      <c r="V39" s="110"/>
      <c r="Y39" s="153"/>
      <c r="Z39" s="154"/>
    </row>
    <row r="40" spans="1:26" s="97" customFormat="1" ht="15" hidden="1" customHeight="1">
      <c r="A40" s="193" t="s">
        <v>218</v>
      </c>
      <c r="B40" s="194"/>
      <c r="C40" s="479">
        <v>0</v>
      </c>
      <c r="D40" s="148"/>
      <c r="E40" s="149">
        <v>0</v>
      </c>
      <c r="F40" s="141"/>
      <c r="G40" s="484">
        <v>0</v>
      </c>
      <c r="H40" s="151"/>
      <c r="I40" s="191"/>
      <c r="J40" s="141"/>
      <c r="K40" s="192">
        <v>0</v>
      </c>
      <c r="L40" s="151"/>
      <c r="M40" s="498">
        <f>G40</f>
        <v>0</v>
      </c>
      <c r="N40" s="151"/>
      <c r="O40" s="499">
        <f t="shared" si="1"/>
        <v>0</v>
      </c>
      <c r="P40" s="151"/>
      <c r="Q40" s="482">
        <f t="shared" si="2"/>
        <v>0</v>
      </c>
      <c r="R40" s="151"/>
      <c r="S40" s="483">
        <f t="shared" si="2"/>
        <v>0</v>
      </c>
      <c r="T40" s="151"/>
      <c r="U40" s="195" t="s">
        <v>219</v>
      </c>
      <c r="V40" s="110"/>
      <c r="Y40" s="153"/>
      <c r="Z40" s="154"/>
    </row>
    <row r="41" spans="1:26" s="97" customFormat="1" ht="15" customHeight="1">
      <c r="A41" s="155" t="s">
        <v>220</v>
      </c>
      <c r="B41" s="196"/>
      <c r="C41" s="500">
        <v>0</v>
      </c>
      <c r="D41" s="197"/>
      <c r="E41" s="198">
        <v>0</v>
      </c>
      <c r="F41" s="199"/>
      <c r="G41" s="501">
        <v>41699.61</v>
      </c>
      <c r="H41" s="199"/>
      <c r="I41" s="501">
        <v>41699.61</v>
      </c>
      <c r="J41" s="199"/>
      <c r="K41" s="200">
        <v>0</v>
      </c>
      <c r="L41" s="199"/>
      <c r="M41" s="502">
        <f t="shared" ref="M41:M49" si="3">K41</f>
        <v>0</v>
      </c>
      <c r="N41" s="199"/>
      <c r="O41" s="503">
        <f t="shared" si="1"/>
        <v>0</v>
      </c>
      <c r="P41" s="199"/>
      <c r="Q41" s="504">
        <f t="shared" si="2"/>
        <v>0</v>
      </c>
      <c r="R41" s="199"/>
      <c r="S41" s="505">
        <f t="shared" si="2"/>
        <v>0</v>
      </c>
      <c r="T41" s="151"/>
      <c r="U41" s="128" t="s">
        <v>221</v>
      </c>
      <c r="V41" s="110"/>
      <c r="Y41" s="153"/>
      <c r="Z41" s="154"/>
    </row>
    <row r="42" spans="1:26" s="97" customFormat="1" ht="15" customHeight="1">
      <c r="A42" s="506" t="s">
        <v>222</v>
      </c>
      <c r="B42" s="507"/>
      <c r="C42" s="479"/>
      <c r="D42" s="148"/>
      <c r="E42" s="158"/>
      <c r="F42" s="141"/>
      <c r="G42" s="150"/>
      <c r="H42" s="151"/>
      <c r="I42" s="150"/>
      <c r="J42" s="141"/>
      <c r="K42" s="201">
        <v>0</v>
      </c>
      <c r="L42" s="151"/>
      <c r="M42" s="480">
        <f t="shared" si="3"/>
        <v>0</v>
      </c>
      <c r="N42" s="151"/>
      <c r="O42" s="481">
        <f>M42</f>
        <v>0</v>
      </c>
      <c r="P42" s="151"/>
      <c r="Q42" s="482">
        <f>O42</f>
        <v>0</v>
      </c>
      <c r="R42" s="151"/>
      <c r="S42" s="483">
        <f>Q42</f>
        <v>0</v>
      </c>
      <c r="T42" s="151"/>
      <c r="U42" s="128" t="s">
        <v>223</v>
      </c>
      <c r="V42" s="110"/>
      <c r="W42" s="202"/>
      <c r="X42" s="202"/>
      <c r="Y42" s="153"/>
      <c r="Z42" s="154"/>
    </row>
    <row r="43" spans="1:26" s="97" customFormat="1" ht="15" customHeight="1">
      <c r="A43" s="506" t="s">
        <v>224</v>
      </c>
      <c r="B43" s="507"/>
      <c r="C43" s="479"/>
      <c r="D43" s="148"/>
      <c r="E43" s="158"/>
      <c r="F43" s="141"/>
      <c r="G43" s="150"/>
      <c r="H43" s="151"/>
      <c r="I43" s="150"/>
      <c r="J43" s="141"/>
      <c r="K43" s="201">
        <v>0</v>
      </c>
      <c r="L43" s="151"/>
      <c r="M43" s="480">
        <f t="shared" si="3"/>
        <v>0</v>
      </c>
      <c r="N43" s="151"/>
      <c r="O43" s="481">
        <f t="shared" ref="O43:O48" si="4">M43</f>
        <v>0</v>
      </c>
      <c r="P43" s="151"/>
      <c r="Q43" s="482">
        <f t="shared" ref="Q43:Q48" si="5">O43</f>
        <v>0</v>
      </c>
      <c r="R43" s="151"/>
      <c r="S43" s="483">
        <f t="shared" ref="S43:S48" si="6">Q43</f>
        <v>0</v>
      </c>
      <c r="T43" s="151"/>
      <c r="U43" s="128" t="s">
        <v>225</v>
      </c>
      <c r="V43" s="110"/>
      <c r="Y43" s="153"/>
      <c r="Z43" s="154"/>
    </row>
    <row r="44" spans="1:26" s="97" customFormat="1" ht="15" customHeight="1">
      <c r="A44" s="508" t="s">
        <v>226</v>
      </c>
      <c r="B44" s="509"/>
      <c r="C44" s="479"/>
      <c r="D44" s="148"/>
      <c r="E44" s="158"/>
      <c r="F44" s="141"/>
      <c r="G44" s="150"/>
      <c r="H44" s="151"/>
      <c r="I44" s="150"/>
      <c r="J44" s="141"/>
      <c r="K44" s="201">
        <v>0</v>
      </c>
      <c r="L44" s="151"/>
      <c r="M44" s="480">
        <f t="shared" si="3"/>
        <v>0</v>
      </c>
      <c r="N44" s="151"/>
      <c r="O44" s="481">
        <f t="shared" si="4"/>
        <v>0</v>
      </c>
      <c r="P44" s="151"/>
      <c r="Q44" s="482">
        <f t="shared" si="5"/>
        <v>0</v>
      </c>
      <c r="R44" s="151"/>
      <c r="S44" s="483">
        <f t="shared" si="6"/>
        <v>0</v>
      </c>
      <c r="T44" s="151"/>
      <c r="U44" s="128" t="s">
        <v>227</v>
      </c>
      <c r="V44" s="110"/>
      <c r="Y44" s="153"/>
      <c r="Z44" s="154"/>
    </row>
    <row r="45" spans="1:26" s="97" customFormat="1" ht="15" customHeight="1">
      <c r="A45" s="506" t="s">
        <v>228</v>
      </c>
      <c r="B45" s="507"/>
      <c r="C45" s="479"/>
      <c r="D45" s="148"/>
      <c r="E45" s="158"/>
      <c r="F45" s="141"/>
      <c r="G45" s="150"/>
      <c r="H45" s="151"/>
      <c r="I45" s="150"/>
      <c r="J45" s="141"/>
      <c r="K45" s="201">
        <v>0</v>
      </c>
      <c r="L45" s="151"/>
      <c r="M45" s="480">
        <f t="shared" si="3"/>
        <v>0</v>
      </c>
      <c r="N45" s="151"/>
      <c r="O45" s="481">
        <f t="shared" si="4"/>
        <v>0</v>
      </c>
      <c r="P45" s="151"/>
      <c r="Q45" s="482">
        <f t="shared" si="5"/>
        <v>0</v>
      </c>
      <c r="R45" s="151"/>
      <c r="S45" s="483">
        <f t="shared" si="6"/>
        <v>0</v>
      </c>
      <c r="T45" s="151"/>
      <c r="U45" s="128" t="s">
        <v>227</v>
      </c>
      <c r="V45" s="110"/>
      <c r="Y45" s="153"/>
      <c r="Z45" s="154"/>
    </row>
    <row r="46" spans="1:26" s="97" customFormat="1" ht="15" customHeight="1">
      <c r="A46" s="506" t="s">
        <v>229</v>
      </c>
      <c r="B46" s="507"/>
      <c r="C46" s="479"/>
      <c r="D46" s="148"/>
      <c r="E46" s="158"/>
      <c r="F46" s="141"/>
      <c r="G46" s="150"/>
      <c r="H46" s="151"/>
      <c r="I46" s="150"/>
      <c r="J46" s="141"/>
      <c r="K46" s="201">
        <v>0</v>
      </c>
      <c r="L46" s="151"/>
      <c r="M46" s="480">
        <f t="shared" si="3"/>
        <v>0</v>
      </c>
      <c r="N46" s="151"/>
      <c r="O46" s="481">
        <f t="shared" si="4"/>
        <v>0</v>
      </c>
      <c r="P46" s="151"/>
      <c r="Q46" s="482">
        <f t="shared" si="5"/>
        <v>0</v>
      </c>
      <c r="R46" s="151"/>
      <c r="S46" s="483">
        <f t="shared" si="6"/>
        <v>0</v>
      </c>
      <c r="T46" s="151"/>
      <c r="U46" s="128" t="s">
        <v>227</v>
      </c>
      <c r="V46" s="110"/>
      <c r="Y46" s="153"/>
      <c r="Z46" s="154"/>
    </row>
    <row r="47" spans="1:26" s="97" customFormat="1" ht="15" customHeight="1">
      <c r="A47" s="506" t="s">
        <v>230</v>
      </c>
      <c r="B47" s="507"/>
      <c r="C47" s="479"/>
      <c r="D47" s="148"/>
      <c r="E47" s="158"/>
      <c r="F47" s="141"/>
      <c r="G47" s="150"/>
      <c r="H47" s="151"/>
      <c r="I47" s="150"/>
      <c r="J47" s="141"/>
      <c r="K47" s="201">
        <v>0</v>
      </c>
      <c r="L47" s="151"/>
      <c r="M47" s="480">
        <f t="shared" si="3"/>
        <v>0</v>
      </c>
      <c r="N47" s="151"/>
      <c r="O47" s="481">
        <f t="shared" si="4"/>
        <v>0</v>
      </c>
      <c r="P47" s="151"/>
      <c r="Q47" s="482">
        <f t="shared" si="5"/>
        <v>0</v>
      </c>
      <c r="R47" s="151"/>
      <c r="S47" s="483">
        <f t="shared" si="6"/>
        <v>0</v>
      </c>
      <c r="T47" s="151"/>
      <c r="U47" s="128" t="s">
        <v>227</v>
      </c>
      <c r="V47" s="110"/>
      <c r="Y47" s="153"/>
      <c r="Z47" s="154"/>
    </row>
    <row r="48" spans="1:26" s="97" customFormat="1" ht="15" customHeight="1">
      <c r="A48" s="506" t="s">
        <v>231</v>
      </c>
      <c r="B48" s="507"/>
      <c r="C48" s="479"/>
      <c r="D48" s="148"/>
      <c r="E48" s="158"/>
      <c r="F48" s="141"/>
      <c r="G48" s="150"/>
      <c r="H48" s="151"/>
      <c r="I48" s="150"/>
      <c r="J48" s="141"/>
      <c r="K48" s="201">
        <v>0</v>
      </c>
      <c r="L48" s="151"/>
      <c r="M48" s="480">
        <f t="shared" si="3"/>
        <v>0</v>
      </c>
      <c r="N48" s="151"/>
      <c r="O48" s="481">
        <f t="shared" si="4"/>
        <v>0</v>
      </c>
      <c r="P48" s="151"/>
      <c r="Q48" s="482">
        <f t="shared" si="5"/>
        <v>0</v>
      </c>
      <c r="R48" s="151"/>
      <c r="S48" s="483">
        <f t="shared" si="6"/>
        <v>0</v>
      </c>
      <c r="T48" s="151"/>
      <c r="U48" s="128" t="s">
        <v>227</v>
      </c>
      <c r="V48" s="110"/>
      <c r="Y48" s="153"/>
      <c r="Z48" s="154"/>
    </row>
    <row r="49" spans="1:26" s="97" customFormat="1" ht="15" customHeight="1">
      <c r="A49" s="146" t="s">
        <v>232</v>
      </c>
      <c r="B49" s="171"/>
      <c r="C49" s="479">
        <v>0</v>
      </c>
      <c r="D49" s="148"/>
      <c r="E49" s="149">
        <v>0</v>
      </c>
      <c r="F49" s="141"/>
      <c r="G49" s="150"/>
      <c r="H49" s="151"/>
      <c r="I49" s="150"/>
      <c r="J49" s="141"/>
      <c r="K49" s="152">
        <v>0</v>
      </c>
      <c r="L49" s="151"/>
      <c r="M49" s="480">
        <f t="shared" si="3"/>
        <v>0</v>
      </c>
      <c r="N49" s="151"/>
      <c r="O49" s="481">
        <f t="shared" si="1"/>
        <v>0</v>
      </c>
      <c r="P49" s="151"/>
      <c r="Q49" s="482">
        <f t="shared" si="2"/>
        <v>0</v>
      </c>
      <c r="R49" s="151"/>
      <c r="S49" s="483">
        <f t="shared" si="2"/>
        <v>0</v>
      </c>
      <c r="T49" s="151"/>
      <c r="U49" t="s">
        <v>233</v>
      </c>
      <c r="V49" s="110"/>
      <c r="Y49" s="153"/>
      <c r="Z49" s="154"/>
    </row>
    <row r="50" spans="1:26" s="97" customFormat="1" ht="15" hidden="1" customHeight="1">
      <c r="A50" s="203" t="s">
        <v>234</v>
      </c>
      <c r="B50" s="204"/>
      <c r="C50" s="479">
        <v>0</v>
      </c>
      <c r="D50" s="148"/>
      <c r="E50" s="149">
        <v>0</v>
      </c>
      <c r="F50" s="141"/>
      <c r="G50" s="150"/>
      <c r="H50" s="151"/>
      <c r="I50" s="150"/>
      <c r="J50" s="141"/>
      <c r="K50" s="205">
        <v>0</v>
      </c>
      <c r="L50" s="151"/>
      <c r="M50" s="480">
        <f>G50</f>
        <v>0</v>
      </c>
      <c r="N50" s="151"/>
      <c r="O50" s="481">
        <f t="shared" si="1"/>
        <v>0</v>
      </c>
      <c r="P50" s="151"/>
      <c r="Q50" s="482">
        <f t="shared" si="2"/>
        <v>0</v>
      </c>
      <c r="R50" s="151"/>
      <c r="S50" s="483">
        <f t="shared" si="2"/>
        <v>0</v>
      </c>
      <c r="T50" s="151"/>
      <c r="U50" s="195" t="s">
        <v>235</v>
      </c>
      <c r="V50" s="110"/>
      <c r="Y50" s="153"/>
      <c r="Z50" s="154"/>
    </row>
    <row r="51" spans="1:26" s="97" customFormat="1" ht="15" customHeight="1">
      <c r="A51" s="510" t="s">
        <v>236</v>
      </c>
      <c r="B51" s="511"/>
      <c r="C51" s="512">
        <v>0</v>
      </c>
      <c r="D51" s="206"/>
      <c r="E51" s="207">
        <v>0</v>
      </c>
      <c r="F51" s="208"/>
      <c r="G51" s="209"/>
      <c r="H51" s="208"/>
      <c r="I51" s="209"/>
      <c r="J51" s="208"/>
      <c r="K51" s="210">
        <v>0</v>
      </c>
      <c r="L51" s="208"/>
      <c r="M51" s="513">
        <f t="shared" ref="M51:M70" si="7">K51</f>
        <v>0</v>
      </c>
      <c r="N51" s="208"/>
      <c r="O51" s="514">
        <f t="shared" si="1"/>
        <v>0</v>
      </c>
      <c r="P51" s="208"/>
      <c r="Q51" s="515">
        <f t="shared" si="2"/>
        <v>0</v>
      </c>
      <c r="R51" s="208"/>
      <c r="S51" s="516">
        <f t="shared" si="2"/>
        <v>0</v>
      </c>
      <c r="T51" s="151"/>
      <c r="U51" t="s">
        <v>237</v>
      </c>
      <c r="V51" s="110"/>
      <c r="Y51" s="153"/>
      <c r="Z51" s="154"/>
    </row>
    <row r="52" spans="1:26" s="97" customFormat="1" ht="15" customHeight="1">
      <c r="A52" s="517" t="s">
        <v>238</v>
      </c>
      <c r="B52" s="518"/>
      <c r="C52" s="512"/>
      <c r="D52" s="206"/>
      <c r="E52" s="158"/>
      <c r="F52" s="199"/>
      <c r="G52" s="211"/>
      <c r="H52" s="199"/>
      <c r="I52" s="211"/>
      <c r="J52" s="199"/>
      <c r="K52" s="200">
        <v>0</v>
      </c>
      <c r="L52" s="199"/>
      <c r="M52" s="502">
        <f t="shared" si="7"/>
        <v>0</v>
      </c>
      <c r="N52" s="199"/>
      <c r="O52" s="503">
        <f>M52</f>
        <v>0</v>
      </c>
      <c r="P52" s="199"/>
      <c r="Q52" s="504">
        <f t="shared" si="2"/>
        <v>0</v>
      </c>
      <c r="R52" s="199"/>
      <c r="S52" s="505">
        <f t="shared" si="2"/>
        <v>0</v>
      </c>
      <c r="T52" s="151"/>
      <c r="U52" s="128" t="s">
        <v>239</v>
      </c>
      <c r="V52" s="110"/>
      <c r="Y52" s="153"/>
      <c r="Z52" s="154"/>
    </row>
    <row r="53" spans="1:26" s="97" customFormat="1" ht="15" customHeight="1">
      <c r="A53" s="517" t="s">
        <v>240</v>
      </c>
      <c r="B53" s="518"/>
      <c r="C53" s="500"/>
      <c r="D53" s="197"/>
      <c r="E53" s="158"/>
      <c r="F53" s="199"/>
      <c r="G53" s="211"/>
      <c r="H53" s="199"/>
      <c r="I53" s="211"/>
      <c r="J53" s="199"/>
      <c r="K53" s="200">
        <v>0</v>
      </c>
      <c r="L53" s="199"/>
      <c r="M53" s="502">
        <f t="shared" si="7"/>
        <v>0</v>
      </c>
      <c r="N53" s="199"/>
      <c r="O53" s="503">
        <f>M53</f>
        <v>0</v>
      </c>
      <c r="P53" s="199"/>
      <c r="Q53" s="504">
        <f t="shared" si="2"/>
        <v>0</v>
      </c>
      <c r="R53" s="199"/>
      <c r="S53" s="505">
        <f t="shared" si="2"/>
        <v>0</v>
      </c>
      <c r="T53" s="151"/>
      <c r="U53" s="128" t="s">
        <v>241</v>
      </c>
      <c r="V53" s="110"/>
      <c r="Y53" s="153"/>
      <c r="Z53" s="154"/>
    </row>
    <row r="54" spans="1:26" s="97" customFormat="1" ht="15" customHeight="1">
      <c r="A54" s="517" t="s">
        <v>242</v>
      </c>
      <c r="B54" s="518"/>
      <c r="C54" s="500"/>
      <c r="D54" s="197"/>
      <c r="E54" s="158"/>
      <c r="F54" s="199"/>
      <c r="G54" s="211"/>
      <c r="H54" s="199"/>
      <c r="I54" s="211"/>
      <c r="J54" s="199"/>
      <c r="K54" s="200">
        <v>0</v>
      </c>
      <c r="L54" s="199"/>
      <c r="M54" s="502">
        <f t="shared" si="7"/>
        <v>0</v>
      </c>
      <c r="N54" s="199"/>
      <c r="O54" s="503">
        <f t="shared" ref="O54:O60" si="8">M54</f>
        <v>0</v>
      </c>
      <c r="P54" s="199"/>
      <c r="Q54" s="504">
        <f>O54</f>
        <v>0</v>
      </c>
      <c r="R54" s="199"/>
      <c r="S54" s="505">
        <f t="shared" si="2"/>
        <v>0</v>
      </c>
      <c r="T54" s="151"/>
      <c r="U54" s="128" t="s">
        <v>243</v>
      </c>
      <c r="V54" s="110"/>
      <c r="Y54" s="153"/>
      <c r="Z54" s="154"/>
    </row>
    <row r="55" spans="1:26" s="97" customFormat="1" ht="15" customHeight="1">
      <c r="A55" s="506" t="s">
        <v>244</v>
      </c>
      <c r="B55" s="507"/>
      <c r="C55" s="479"/>
      <c r="D55" s="148"/>
      <c r="E55" s="158"/>
      <c r="F55" s="141"/>
      <c r="G55" s="150"/>
      <c r="H55" s="151"/>
      <c r="I55" s="150"/>
      <c r="J55" s="141"/>
      <c r="K55" s="201">
        <v>0</v>
      </c>
      <c r="L55" s="151"/>
      <c r="M55" s="480">
        <f t="shared" si="7"/>
        <v>0</v>
      </c>
      <c r="N55" s="151"/>
      <c r="O55" s="481">
        <f t="shared" si="8"/>
        <v>0</v>
      </c>
      <c r="P55" s="151"/>
      <c r="Q55" s="482">
        <f t="shared" ref="Q55:Q60" si="9">O55</f>
        <v>0</v>
      </c>
      <c r="R55" s="151"/>
      <c r="S55" s="483">
        <f>Q55</f>
        <v>0</v>
      </c>
      <c r="T55" s="151"/>
      <c r="U55" s="128" t="s">
        <v>245</v>
      </c>
      <c r="V55" s="110"/>
      <c r="Y55" s="153"/>
      <c r="Z55" s="154"/>
    </row>
    <row r="56" spans="1:26" s="97" customFormat="1" ht="15" customHeight="1">
      <c r="A56" s="506" t="s">
        <v>246</v>
      </c>
      <c r="B56" s="507"/>
      <c r="C56" s="479"/>
      <c r="D56" s="148"/>
      <c r="E56" s="158"/>
      <c r="F56" s="141"/>
      <c r="G56" s="150"/>
      <c r="H56" s="151"/>
      <c r="I56" s="150"/>
      <c r="J56" s="141"/>
      <c r="K56" s="201">
        <v>0</v>
      </c>
      <c r="L56" s="151"/>
      <c r="M56" s="480">
        <f t="shared" si="7"/>
        <v>0</v>
      </c>
      <c r="N56" s="151"/>
      <c r="O56" s="481">
        <f t="shared" si="8"/>
        <v>0</v>
      </c>
      <c r="P56" s="151"/>
      <c r="Q56" s="482">
        <f t="shared" si="9"/>
        <v>0</v>
      </c>
      <c r="R56" s="151"/>
      <c r="S56" s="483">
        <f>Q56</f>
        <v>0</v>
      </c>
      <c r="T56" s="151"/>
      <c r="U56" s="128" t="s">
        <v>247</v>
      </c>
      <c r="V56" s="110"/>
      <c r="Y56" s="153"/>
      <c r="Z56" s="154"/>
    </row>
    <row r="57" spans="1:26" s="97" customFormat="1" ht="15" customHeight="1">
      <c r="A57" s="517" t="s">
        <v>248</v>
      </c>
      <c r="B57" s="518"/>
      <c r="C57" s="479"/>
      <c r="D57" s="148"/>
      <c r="E57" s="158"/>
      <c r="F57" s="199"/>
      <c r="G57" s="519"/>
      <c r="H57" s="199"/>
      <c r="I57" s="519"/>
      <c r="J57" s="199"/>
      <c r="K57" s="212">
        <v>0</v>
      </c>
      <c r="L57" s="199"/>
      <c r="M57" s="520">
        <v>0</v>
      </c>
      <c r="N57" s="199"/>
      <c r="O57" s="521">
        <v>0</v>
      </c>
      <c r="P57" s="199"/>
      <c r="Q57" s="522">
        <v>0</v>
      </c>
      <c r="R57" s="199"/>
      <c r="S57" s="523">
        <v>0</v>
      </c>
      <c r="T57" s="151"/>
      <c r="U57" s="128" t="s">
        <v>249</v>
      </c>
      <c r="V57" s="110"/>
      <c r="Y57" s="153"/>
      <c r="Z57" s="154"/>
    </row>
    <row r="58" spans="1:26" s="97" customFormat="1" ht="15" customHeight="1">
      <c r="A58" s="517" t="s">
        <v>250</v>
      </c>
      <c r="B58" s="518"/>
      <c r="C58" s="479"/>
      <c r="D58" s="148"/>
      <c r="E58" s="158"/>
      <c r="F58" s="199"/>
      <c r="G58" s="519"/>
      <c r="H58" s="199"/>
      <c r="I58" s="519"/>
      <c r="J58" s="199"/>
      <c r="K58" s="212">
        <v>0</v>
      </c>
      <c r="L58" s="199"/>
      <c r="M58" s="520">
        <v>0</v>
      </c>
      <c r="N58" s="199"/>
      <c r="O58" s="521">
        <v>0</v>
      </c>
      <c r="P58" s="199"/>
      <c r="Q58" s="522">
        <v>0</v>
      </c>
      <c r="R58" s="199"/>
      <c r="S58" s="523">
        <v>0</v>
      </c>
      <c r="T58" s="151"/>
      <c r="U58" s="128" t="s">
        <v>251</v>
      </c>
      <c r="V58" s="110"/>
      <c r="Y58" s="153"/>
      <c r="Z58" s="154"/>
    </row>
    <row r="59" spans="1:26" s="97" customFormat="1" ht="15" customHeight="1">
      <c r="A59" s="517" t="s">
        <v>252</v>
      </c>
      <c r="B59" s="518"/>
      <c r="C59" s="479"/>
      <c r="D59" s="148"/>
      <c r="E59" s="158"/>
      <c r="F59" s="199"/>
      <c r="G59" s="519"/>
      <c r="H59" s="199"/>
      <c r="I59" s="519"/>
      <c r="J59" s="199"/>
      <c r="K59" s="212">
        <v>0</v>
      </c>
      <c r="L59" s="199"/>
      <c r="M59" s="520">
        <v>0</v>
      </c>
      <c r="N59" s="199"/>
      <c r="O59" s="521">
        <v>0</v>
      </c>
      <c r="P59" s="199"/>
      <c r="Q59" s="522">
        <v>0</v>
      </c>
      <c r="R59" s="199"/>
      <c r="S59" s="523">
        <v>0</v>
      </c>
      <c r="T59" s="151"/>
      <c r="U59" s="128" t="s">
        <v>253</v>
      </c>
      <c r="V59" s="110"/>
      <c r="Y59" s="153"/>
      <c r="Z59" s="154"/>
    </row>
    <row r="60" spans="1:26" s="97" customFormat="1" ht="15" customHeight="1">
      <c r="A60" s="485" t="s">
        <v>254</v>
      </c>
      <c r="B60" s="486"/>
      <c r="C60" s="479">
        <v>0</v>
      </c>
      <c r="D60" s="148"/>
      <c r="E60" s="149">
        <v>0</v>
      </c>
      <c r="F60" s="141"/>
      <c r="G60" s="484">
        <v>8800</v>
      </c>
      <c r="H60" s="151"/>
      <c r="I60" s="484">
        <v>8800</v>
      </c>
      <c r="J60" s="141"/>
      <c r="K60" s="152">
        <v>0</v>
      </c>
      <c r="L60" s="151"/>
      <c r="M60" s="480">
        <f t="shared" si="7"/>
        <v>0</v>
      </c>
      <c r="N60" s="151"/>
      <c r="O60" s="481">
        <f t="shared" si="8"/>
        <v>0</v>
      </c>
      <c r="P60" s="151"/>
      <c r="Q60" s="482">
        <f t="shared" si="9"/>
        <v>0</v>
      </c>
      <c r="R60" s="151"/>
      <c r="S60" s="483">
        <f>Q60</f>
        <v>0</v>
      </c>
      <c r="T60" s="151"/>
      <c r="U60" t="s">
        <v>255</v>
      </c>
      <c r="V60" s="110"/>
      <c r="Y60" s="153"/>
      <c r="Z60" s="154"/>
    </row>
    <row r="61" spans="1:26" s="97" customFormat="1" ht="15" customHeight="1">
      <c r="A61" s="485" t="s">
        <v>256</v>
      </c>
      <c r="B61" s="486"/>
      <c r="C61" s="479">
        <v>0</v>
      </c>
      <c r="D61" s="148"/>
      <c r="E61" s="149">
        <v>0</v>
      </c>
      <c r="F61" s="141"/>
      <c r="G61" s="150"/>
      <c r="H61" s="151"/>
      <c r="I61" s="150"/>
      <c r="J61" s="141"/>
      <c r="K61" s="152">
        <v>0</v>
      </c>
      <c r="L61" s="151"/>
      <c r="M61" s="480">
        <f t="shared" si="7"/>
        <v>0</v>
      </c>
      <c r="N61" s="151"/>
      <c r="O61" s="481">
        <f t="shared" si="1"/>
        <v>0</v>
      </c>
      <c r="P61" s="151"/>
      <c r="Q61" s="482">
        <f t="shared" si="2"/>
        <v>0</v>
      </c>
      <c r="R61" s="151"/>
      <c r="S61" s="483">
        <f t="shared" si="2"/>
        <v>0</v>
      </c>
      <c r="T61" s="151"/>
      <c r="U61" t="s">
        <v>257</v>
      </c>
      <c r="V61" s="110"/>
      <c r="Y61" s="153"/>
      <c r="Z61" s="154"/>
    </row>
    <row r="62" spans="1:26" s="97" customFormat="1" ht="15" customHeight="1">
      <c r="A62" s="213" t="s">
        <v>258</v>
      </c>
      <c r="B62" s="214"/>
      <c r="C62" s="215">
        <v>0</v>
      </c>
      <c r="D62" s="148"/>
      <c r="E62" s="149">
        <v>0</v>
      </c>
      <c r="F62" s="141"/>
      <c r="G62" s="150"/>
      <c r="H62" s="151"/>
      <c r="I62" s="150"/>
      <c r="J62" s="141"/>
      <c r="K62" s="152">
        <v>0</v>
      </c>
      <c r="L62" s="151"/>
      <c r="M62" s="480">
        <f t="shared" si="7"/>
        <v>0</v>
      </c>
      <c r="N62" s="151"/>
      <c r="O62" s="481">
        <f t="shared" si="1"/>
        <v>0</v>
      </c>
      <c r="P62" s="151"/>
      <c r="Q62" s="482">
        <f t="shared" si="2"/>
        <v>0</v>
      </c>
      <c r="R62" s="151"/>
      <c r="S62" s="483">
        <f t="shared" si="2"/>
        <v>0</v>
      </c>
      <c r="T62" s="151"/>
      <c r="U62" t="s">
        <v>259</v>
      </c>
      <c r="V62" s="110"/>
      <c r="Y62" s="153"/>
      <c r="Z62" s="154"/>
    </row>
    <row r="63" spans="1:26" s="97" customFormat="1" ht="15" hidden="1" customHeight="1">
      <c r="A63" s="155" t="s">
        <v>260</v>
      </c>
      <c r="B63" s="216"/>
      <c r="C63" s="215"/>
      <c r="D63" s="148"/>
      <c r="E63" s="152"/>
      <c r="F63" s="141"/>
      <c r="G63" s="217"/>
      <c r="H63" s="151"/>
      <c r="I63" s="217"/>
      <c r="J63" s="141"/>
      <c r="K63" s="218"/>
      <c r="L63" s="151"/>
      <c r="M63" s="480">
        <f t="shared" si="7"/>
        <v>0</v>
      </c>
      <c r="N63" s="151"/>
      <c r="O63" s="481">
        <f t="shared" si="1"/>
        <v>0</v>
      </c>
      <c r="P63" s="151"/>
      <c r="Q63" s="482">
        <f t="shared" ref="Q63:Q70" si="10">O63</f>
        <v>0</v>
      </c>
      <c r="R63" s="151"/>
      <c r="S63" s="483">
        <f t="shared" ref="S63:S70" si="11">Q63</f>
        <v>0</v>
      </c>
      <c r="T63" s="151"/>
      <c r="U63"/>
      <c r="V63" s="219" t="s">
        <v>261</v>
      </c>
      <c r="W63" s="220"/>
      <c r="Y63" s="153"/>
      <c r="Z63" s="154"/>
    </row>
    <row r="64" spans="1:26" s="97" customFormat="1" ht="15" hidden="1" customHeight="1">
      <c r="A64" s="155" t="s">
        <v>262</v>
      </c>
      <c r="B64" s="216"/>
      <c r="C64" s="215"/>
      <c r="D64" s="148"/>
      <c r="E64" s="152"/>
      <c r="F64" s="141"/>
      <c r="G64" s="217"/>
      <c r="H64" s="151"/>
      <c r="I64" s="217"/>
      <c r="J64" s="141"/>
      <c r="K64" s="218"/>
      <c r="L64" s="151"/>
      <c r="M64" s="480">
        <f t="shared" si="7"/>
        <v>0</v>
      </c>
      <c r="N64" s="151"/>
      <c r="O64" s="481">
        <f t="shared" si="1"/>
        <v>0</v>
      </c>
      <c r="P64" s="151"/>
      <c r="Q64" s="482">
        <f t="shared" si="10"/>
        <v>0</v>
      </c>
      <c r="R64" s="151"/>
      <c r="S64" s="483">
        <f t="shared" si="11"/>
        <v>0</v>
      </c>
      <c r="T64" s="151"/>
      <c r="U64"/>
      <c r="V64" s="110"/>
      <c r="Y64" s="153"/>
      <c r="Z64" s="154"/>
    </row>
    <row r="65" spans="1:26" s="97" customFormat="1" ht="15" hidden="1" customHeight="1">
      <c r="A65" s="155" t="s">
        <v>263</v>
      </c>
      <c r="B65" s="216"/>
      <c r="C65" s="215"/>
      <c r="D65" s="148"/>
      <c r="E65" s="152"/>
      <c r="F65" s="141"/>
      <c r="G65" s="217"/>
      <c r="H65" s="151"/>
      <c r="I65" s="217"/>
      <c r="J65" s="141"/>
      <c r="K65" s="218"/>
      <c r="L65" s="151"/>
      <c r="M65" s="480">
        <f t="shared" si="7"/>
        <v>0</v>
      </c>
      <c r="N65" s="151"/>
      <c r="O65" s="481">
        <f t="shared" si="1"/>
        <v>0</v>
      </c>
      <c r="P65" s="151"/>
      <c r="Q65" s="482">
        <f t="shared" si="10"/>
        <v>0</v>
      </c>
      <c r="R65" s="151"/>
      <c r="S65" s="483">
        <f t="shared" si="11"/>
        <v>0</v>
      </c>
      <c r="T65" s="151"/>
      <c r="U65"/>
      <c r="V65" s="110"/>
      <c r="Y65" s="153"/>
      <c r="Z65" s="154"/>
    </row>
    <row r="66" spans="1:26" s="97" customFormat="1" ht="15" hidden="1" customHeight="1">
      <c r="A66" s="155" t="s">
        <v>264</v>
      </c>
      <c r="B66" s="216"/>
      <c r="C66" s="215"/>
      <c r="D66" s="148"/>
      <c r="E66" s="152"/>
      <c r="F66" s="141"/>
      <c r="G66" s="217"/>
      <c r="H66" s="151"/>
      <c r="I66" s="217"/>
      <c r="J66" s="141"/>
      <c r="K66" s="218"/>
      <c r="L66" s="151"/>
      <c r="M66" s="480">
        <f t="shared" si="7"/>
        <v>0</v>
      </c>
      <c r="N66" s="151"/>
      <c r="O66" s="481">
        <f t="shared" si="1"/>
        <v>0</v>
      </c>
      <c r="P66" s="151"/>
      <c r="Q66" s="482">
        <f t="shared" si="10"/>
        <v>0</v>
      </c>
      <c r="R66" s="151"/>
      <c r="S66" s="483">
        <f t="shared" si="11"/>
        <v>0</v>
      </c>
      <c r="T66" s="151"/>
      <c r="U66"/>
      <c r="V66" s="110"/>
      <c r="Y66" s="153"/>
      <c r="Z66" s="154"/>
    </row>
    <row r="67" spans="1:26" s="97" customFormat="1" ht="15" customHeight="1">
      <c r="A67" s="221" t="s">
        <v>265</v>
      </c>
      <c r="B67" s="222"/>
      <c r="C67" s="215"/>
      <c r="D67" s="148"/>
      <c r="E67" s="158"/>
      <c r="F67" s="141"/>
      <c r="G67" s="150"/>
      <c r="H67" s="151"/>
      <c r="I67" s="150"/>
      <c r="J67" s="141"/>
      <c r="K67" s="201">
        <v>0</v>
      </c>
      <c r="L67" s="151"/>
      <c r="M67" s="480">
        <f t="shared" si="7"/>
        <v>0</v>
      </c>
      <c r="N67" s="151"/>
      <c r="O67" s="481">
        <f t="shared" si="1"/>
        <v>0</v>
      </c>
      <c r="P67" s="151"/>
      <c r="Q67" s="482">
        <f t="shared" si="10"/>
        <v>0</v>
      </c>
      <c r="R67" s="151"/>
      <c r="S67" s="483">
        <f t="shared" si="11"/>
        <v>0</v>
      </c>
      <c r="T67" s="151"/>
      <c r="U67" s="128" t="s">
        <v>266</v>
      </c>
      <c r="V67" s="110"/>
      <c r="Y67" s="153"/>
      <c r="Z67" s="154"/>
    </row>
    <row r="68" spans="1:26" s="97" customFormat="1" ht="18" customHeight="1">
      <c r="A68" s="144" t="s">
        <v>267</v>
      </c>
      <c r="B68" s="145"/>
      <c r="C68" s="223" t="s">
        <v>168</v>
      </c>
      <c r="D68" s="223"/>
      <c r="E68" s="224" t="s">
        <v>169</v>
      </c>
      <c r="F68" s="141"/>
      <c r="G68" s="224" t="s">
        <v>170</v>
      </c>
      <c r="H68" s="224"/>
      <c r="I68" s="224" t="s">
        <v>171</v>
      </c>
      <c r="J68" s="141"/>
      <c r="K68" s="224" t="s">
        <v>170</v>
      </c>
      <c r="L68" s="224"/>
      <c r="M68" s="224" t="s">
        <v>171</v>
      </c>
      <c r="N68" s="224"/>
      <c r="O68" s="224" t="s">
        <v>172</v>
      </c>
      <c r="P68" s="224"/>
      <c r="Q68" s="224" t="s">
        <v>173</v>
      </c>
      <c r="R68" s="224"/>
      <c r="S68" s="224" t="s">
        <v>174</v>
      </c>
      <c r="T68" s="225"/>
      <c r="U68"/>
      <c r="V68" s="110"/>
      <c r="Y68" s="153"/>
      <c r="Z68" s="154"/>
    </row>
    <row r="69" spans="1:26" s="97" customFormat="1" ht="15" customHeight="1">
      <c r="A69" s="171" t="s">
        <v>268</v>
      </c>
      <c r="B69" s="171"/>
      <c r="C69" s="479">
        <v>0</v>
      </c>
      <c r="D69" s="226"/>
      <c r="E69" s="149">
        <v>0</v>
      </c>
      <c r="F69" s="141"/>
      <c r="G69" s="484">
        <v>4437.5</v>
      </c>
      <c r="H69" s="151"/>
      <c r="I69" s="484">
        <v>4437.5</v>
      </c>
      <c r="J69" s="141"/>
      <c r="K69" s="201">
        <v>0</v>
      </c>
      <c r="L69" s="151"/>
      <c r="M69" s="480">
        <f t="shared" si="7"/>
        <v>0</v>
      </c>
      <c r="N69" s="151"/>
      <c r="O69" s="481">
        <f t="shared" si="1"/>
        <v>0</v>
      </c>
      <c r="P69" s="151"/>
      <c r="Q69" s="482">
        <f t="shared" si="10"/>
        <v>0</v>
      </c>
      <c r="R69" s="151"/>
      <c r="S69" s="483">
        <f t="shared" si="11"/>
        <v>0</v>
      </c>
      <c r="T69" s="151"/>
      <c r="U69" t="s">
        <v>269</v>
      </c>
      <c r="V69" s="110"/>
      <c r="W69" s="227"/>
      <c r="Y69" s="228"/>
      <c r="Z69" s="229"/>
    </row>
    <row r="70" spans="1:26" s="97" customFormat="1" ht="15" customHeight="1">
      <c r="A70" s="146" t="s">
        <v>270</v>
      </c>
      <c r="B70" s="230"/>
      <c r="C70" s="157">
        <v>0</v>
      </c>
      <c r="D70" s="226"/>
      <c r="E70" s="149">
        <v>0</v>
      </c>
      <c r="F70" s="141"/>
      <c r="G70" s="484">
        <v>387.83</v>
      </c>
      <c r="H70" s="151"/>
      <c r="I70" s="484">
        <v>387.83</v>
      </c>
      <c r="J70" s="141"/>
      <c r="K70" s="201">
        <v>0</v>
      </c>
      <c r="L70" s="151"/>
      <c r="M70" s="480">
        <f t="shared" si="7"/>
        <v>0</v>
      </c>
      <c r="N70" s="151"/>
      <c r="O70" s="481">
        <f t="shared" si="1"/>
        <v>0</v>
      </c>
      <c r="P70" s="151"/>
      <c r="Q70" s="482">
        <f t="shared" si="10"/>
        <v>0</v>
      </c>
      <c r="R70" s="151"/>
      <c r="S70" s="483">
        <f t="shared" si="11"/>
        <v>0</v>
      </c>
      <c r="T70" s="151"/>
      <c r="U70" t="s">
        <v>271</v>
      </c>
      <c r="V70" s="110"/>
      <c r="W70" s="227"/>
      <c r="Y70" s="228"/>
      <c r="Z70" s="229"/>
    </row>
    <row r="71" spans="1:26" s="97" customFormat="1" ht="18" customHeight="1">
      <c r="A71" s="137"/>
      <c r="B71" s="231"/>
      <c r="C71" s="139" t="s">
        <v>272</v>
      </c>
      <c r="D71" s="139"/>
      <c r="E71" s="140" t="s">
        <v>273</v>
      </c>
      <c r="F71" s="141"/>
      <c r="G71" s="232" t="s">
        <v>274</v>
      </c>
      <c r="H71" s="140"/>
      <c r="I71" s="140"/>
      <c r="J71" s="141"/>
      <c r="K71" s="233" t="s">
        <v>275</v>
      </c>
      <c r="L71" s="140"/>
      <c r="M71" s="140" t="s">
        <v>276</v>
      </c>
      <c r="N71" s="140"/>
      <c r="O71" s="140" t="s">
        <v>277</v>
      </c>
      <c r="P71" s="140"/>
      <c r="Q71" s="140" t="s">
        <v>278</v>
      </c>
      <c r="R71" s="140"/>
      <c r="S71" s="234" t="s">
        <v>279</v>
      </c>
      <c r="T71" s="225"/>
      <c r="U71"/>
      <c r="V71" s="110"/>
      <c r="Y71" s="153"/>
      <c r="Z71" s="154"/>
    </row>
    <row r="72" spans="1:26" s="97" customFormat="1" ht="18">
      <c r="A72" s="524" t="s">
        <v>280</v>
      </c>
      <c r="B72" s="525"/>
      <c r="C72" s="477" t="s">
        <v>281</v>
      </c>
      <c r="D72" s="477"/>
      <c r="E72" s="478" t="s">
        <v>281</v>
      </c>
      <c r="F72" s="141"/>
      <c r="G72" s="526" t="s">
        <v>282</v>
      </c>
      <c r="H72" s="478"/>
      <c r="I72" s="478"/>
      <c r="J72" s="141"/>
      <c r="K72" s="527" t="s">
        <v>282</v>
      </c>
      <c r="L72" s="478"/>
      <c r="M72" s="478" t="s">
        <v>281</v>
      </c>
      <c r="N72" s="478"/>
      <c r="O72" s="478" t="s">
        <v>281</v>
      </c>
      <c r="P72" s="478"/>
      <c r="Q72" s="478" t="s">
        <v>281</v>
      </c>
      <c r="R72" s="478"/>
      <c r="S72" s="528" t="s">
        <v>281</v>
      </c>
      <c r="T72" s="235"/>
      <c r="U72" s="236" t="s">
        <v>283</v>
      </c>
      <c r="V72" s="110"/>
      <c r="Z72" s="237"/>
    </row>
    <row r="73" spans="1:26" s="97" customFormat="1" ht="15" customHeight="1">
      <c r="A73" s="221" t="s">
        <v>284</v>
      </c>
      <c r="B73" s="238"/>
      <c r="C73" s="529">
        <v>0</v>
      </c>
      <c r="D73" s="148"/>
      <c r="E73" s="530">
        <f>IF(ISNA([1]DE1!E48),0,[1]DE1!E48)</f>
        <v>148587289</v>
      </c>
      <c r="G73" s="531">
        <f>IF(ISNA([1]DE1!F48),0,[1]DE1!F48)</f>
        <v>153041656</v>
      </c>
      <c r="H73" s="239"/>
      <c r="I73" s="150"/>
      <c r="J73" s="240"/>
      <c r="K73" s="530">
        <f>IF(ISNA([1]DE1!H48),0,[1]DE1!H48)</f>
        <v>173455210</v>
      </c>
      <c r="L73" s="239"/>
      <c r="M73" s="532">
        <f>'[1]TEA SOF 20-21'!N25</f>
        <v>180410764</v>
      </c>
      <c r="N73" s="239"/>
      <c r="O73" s="533">
        <v>0</v>
      </c>
      <c r="P73" s="239"/>
      <c r="Q73" s="534">
        <v>0</v>
      </c>
      <c r="R73" s="239"/>
      <c r="S73" s="535">
        <v>0</v>
      </c>
      <c r="T73" s="239"/>
      <c r="U73" t="s">
        <v>285</v>
      </c>
      <c r="V73" s="110"/>
      <c r="Y73" s="241"/>
      <c r="Z73" s="242"/>
    </row>
    <row r="74" spans="1:26" s="97" customFormat="1" ht="15" customHeight="1">
      <c r="A74" s="485" t="s">
        <v>286</v>
      </c>
      <c r="C74" s="243">
        <v>0</v>
      </c>
      <c r="D74" s="148"/>
      <c r="E74" s="530">
        <f>IF(ISNA([1]DE1!E49),0,[1]DE1!E49)</f>
        <v>153448884</v>
      </c>
      <c r="G74" s="531">
        <f>IF(ISNA([1]DE1!F49),0,[1]DE1!F49)</f>
        <v>158097616</v>
      </c>
      <c r="H74" s="239"/>
      <c r="I74" s="150"/>
      <c r="J74" s="240"/>
      <c r="K74" s="530">
        <f>IF(ISNA([1]DE1!H49),0,[1]DE1!H49)</f>
        <v>178573265</v>
      </c>
      <c r="L74" s="239"/>
      <c r="M74" s="536">
        <f>(K74-$K$73)+$M$73</f>
        <v>185528819</v>
      </c>
      <c r="N74" s="239"/>
      <c r="O74" s="533">
        <v>0</v>
      </c>
      <c r="P74" s="239"/>
      <c r="Q74" s="534">
        <v>0</v>
      </c>
      <c r="R74" s="239"/>
      <c r="S74" s="535">
        <v>0</v>
      </c>
      <c r="T74" s="239"/>
      <c r="U74" t="s">
        <v>287</v>
      </c>
      <c r="V74" s="110"/>
      <c r="Y74" s="241"/>
      <c r="Z74" s="242"/>
    </row>
    <row r="75" spans="1:26" s="97" customFormat="1" ht="15" customHeight="1">
      <c r="A75" s="146" t="s">
        <v>288</v>
      </c>
      <c r="B75" s="244"/>
      <c r="C75" s="243">
        <v>0</v>
      </c>
      <c r="D75" s="148"/>
      <c r="E75" s="530">
        <f>IF(ISNA([1]DE1!E50),0,[1]DE1!E50)</f>
        <v>148587289</v>
      </c>
      <c r="G75" s="531">
        <f>IF(ISNA([1]DE1!F50),0,[1]DE1!F50)</f>
        <v>153041656</v>
      </c>
      <c r="H75" s="239"/>
      <c r="I75" s="150"/>
      <c r="J75" s="240"/>
      <c r="K75" s="530">
        <f>IF(ISNA([1]DE1!H50),0,[1]DE1!H50)</f>
        <v>173455210</v>
      </c>
      <c r="L75" s="239"/>
      <c r="M75" s="536">
        <f t="shared" ref="M75:M80" si="12">(K75-$K$73)+$M$73</f>
        <v>180410764</v>
      </c>
      <c r="N75" s="239"/>
      <c r="O75" s="533">
        <v>0</v>
      </c>
      <c r="P75" s="239"/>
      <c r="Q75" s="534">
        <v>0</v>
      </c>
      <c r="R75" s="239"/>
      <c r="S75" s="535">
        <v>0</v>
      </c>
      <c r="T75" s="239"/>
      <c r="U75" t="s">
        <v>289</v>
      </c>
      <c r="V75" s="110"/>
      <c r="Y75" s="241"/>
      <c r="Z75" s="242"/>
    </row>
    <row r="76" spans="1:26" s="97" customFormat="1" ht="15" customHeight="1">
      <c r="A76" s="245" t="s">
        <v>290</v>
      </c>
      <c r="B76" s="244"/>
      <c r="C76" s="243">
        <v>0</v>
      </c>
      <c r="D76" s="148"/>
      <c r="E76" s="530">
        <f>IF(ISNA([1]DE1!E51),0,[1]DE1!E51)</f>
        <v>148587289</v>
      </c>
      <c r="G76" s="531">
        <f>IF(ISNA([1]DE1!F51),0,[1]DE1!F51)</f>
        <v>153041656</v>
      </c>
      <c r="H76" s="239"/>
      <c r="I76" s="150"/>
      <c r="J76" s="240"/>
      <c r="K76" s="530">
        <f>IF(ISNA([1]DE1!H51),0,[1]DE1!H51)</f>
        <v>173455210</v>
      </c>
      <c r="L76" s="239"/>
      <c r="M76" s="536">
        <f t="shared" si="12"/>
        <v>180410764</v>
      </c>
      <c r="N76" s="239"/>
      <c r="O76" s="533">
        <v>0</v>
      </c>
      <c r="P76" s="239"/>
      <c r="Q76" s="534">
        <v>0</v>
      </c>
      <c r="R76" s="239"/>
      <c r="S76" s="535">
        <v>0</v>
      </c>
      <c r="T76" s="239"/>
      <c r="U76" t="s">
        <v>291</v>
      </c>
      <c r="V76" s="110"/>
      <c r="Y76" s="241"/>
      <c r="Z76" s="242"/>
    </row>
    <row r="77" spans="1:26" s="97" customFormat="1" ht="15" customHeight="1">
      <c r="A77" s="146" t="s">
        <v>292</v>
      </c>
      <c r="B77" s="244"/>
      <c r="C77" s="243">
        <v>0</v>
      </c>
      <c r="D77" s="148"/>
      <c r="E77" s="530">
        <f>IF(ISNA([1]DE1!E52),0,[1]DE1!E52)</f>
        <v>153448884</v>
      </c>
      <c r="G77" s="531">
        <f>IF(ISNA([1]DE1!F52),0,[1]DE1!F52)</f>
        <v>158097616</v>
      </c>
      <c r="H77" s="239"/>
      <c r="I77" s="150"/>
      <c r="J77" s="240"/>
      <c r="K77" s="530">
        <f>IF(ISNA([1]DE1!H52),0,[1]DE1!H52)</f>
        <v>178573265</v>
      </c>
      <c r="L77" s="239"/>
      <c r="M77" s="536">
        <f t="shared" si="12"/>
        <v>185528819</v>
      </c>
      <c r="N77" s="239"/>
      <c r="O77" s="533">
        <v>0</v>
      </c>
      <c r="P77" s="239"/>
      <c r="Q77" s="534">
        <v>0</v>
      </c>
      <c r="R77" s="239"/>
      <c r="S77" s="535">
        <v>0</v>
      </c>
      <c r="T77" s="239"/>
      <c r="U77" t="s">
        <v>293</v>
      </c>
      <c r="V77" s="110"/>
      <c r="Y77" s="241"/>
      <c r="Z77" s="242"/>
    </row>
    <row r="78" spans="1:26" s="97" customFormat="1" ht="15" customHeight="1">
      <c r="A78" s="246" t="s">
        <v>294</v>
      </c>
      <c r="B78" s="244"/>
      <c r="C78" s="247">
        <v>0</v>
      </c>
      <c r="D78" s="148"/>
      <c r="E78" s="530">
        <f>IF(ISNA([1]DE1!E53),0,[1]DE1!E53)</f>
        <v>153448884</v>
      </c>
      <c r="G78" s="531">
        <f>IF(ISNA([1]DE1!F53),0,[1]DE1!F53)</f>
        <v>158097616</v>
      </c>
      <c r="H78" s="239"/>
      <c r="I78" s="150"/>
      <c r="J78" s="240"/>
      <c r="K78" s="530">
        <f>IF(ISNA([1]DE1!H53),0,[1]DE1!H53)</f>
        <v>178573265</v>
      </c>
      <c r="L78" s="239"/>
      <c r="M78" s="536">
        <f t="shared" si="12"/>
        <v>185528819</v>
      </c>
      <c r="N78" s="239"/>
      <c r="O78" s="533">
        <v>0</v>
      </c>
      <c r="P78" s="239"/>
      <c r="Q78" s="534">
        <v>0</v>
      </c>
      <c r="R78" s="239"/>
      <c r="S78" s="535">
        <v>0</v>
      </c>
      <c r="T78" s="239"/>
      <c r="U78" t="s">
        <v>295</v>
      </c>
      <c r="V78" s="110"/>
      <c r="Y78" s="241"/>
      <c r="Z78" s="242"/>
    </row>
    <row r="79" spans="1:26" s="97" customFormat="1" ht="15" customHeight="1">
      <c r="A79" s="246" t="s">
        <v>296</v>
      </c>
      <c r="B79" s="244"/>
      <c r="C79" s="248"/>
      <c r="D79" s="148"/>
      <c r="E79" s="158"/>
      <c r="G79" s="531"/>
      <c r="H79" s="239"/>
      <c r="I79" s="150"/>
      <c r="J79" s="240"/>
      <c r="K79" s="530">
        <f>IF(ISNA([1]DE1!H55),0,[1]DE1!H55)</f>
        <v>173455210</v>
      </c>
      <c r="L79" s="239"/>
      <c r="M79" s="536">
        <f t="shared" si="12"/>
        <v>180410764</v>
      </c>
      <c r="N79" s="239"/>
      <c r="O79" s="533">
        <v>0</v>
      </c>
      <c r="P79" s="239"/>
      <c r="Q79" s="534">
        <v>0</v>
      </c>
      <c r="R79" s="239"/>
      <c r="S79" s="535">
        <v>0</v>
      </c>
      <c r="T79" s="239"/>
      <c r="U79" t="s">
        <v>297</v>
      </c>
      <c r="V79" s="110"/>
      <c r="Y79" s="241"/>
      <c r="Z79" s="242"/>
    </row>
    <row r="80" spans="1:26" s="97" customFormat="1" ht="15" customHeight="1">
      <c r="A80" s="246" t="s">
        <v>298</v>
      </c>
      <c r="B80" s="244"/>
      <c r="C80" s="248"/>
      <c r="D80" s="148"/>
      <c r="E80" s="249"/>
      <c r="G80" s="531"/>
      <c r="H80" s="239"/>
      <c r="I80" s="150"/>
      <c r="J80" s="240"/>
      <c r="K80" s="530">
        <f>IF(ISNA([1]DE1!H54),0,[1]DE1!H54)</f>
        <v>178573265</v>
      </c>
      <c r="L80" s="239"/>
      <c r="M80" s="536">
        <f t="shared" si="12"/>
        <v>185528819</v>
      </c>
      <c r="N80" s="239"/>
      <c r="O80" s="533">
        <v>0</v>
      </c>
      <c r="P80" s="239"/>
      <c r="Q80" s="534">
        <v>0</v>
      </c>
      <c r="R80" s="239"/>
      <c r="S80" s="535">
        <v>0</v>
      </c>
      <c r="T80" s="239"/>
      <c r="U80" t="s">
        <v>299</v>
      </c>
      <c r="V80" s="110"/>
      <c r="Y80" s="241"/>
      <c r="Z80" s="242"/>
    </row>
    <row r="81" spans="1:26" s="97" customFormat="1" ht="15" customHeight="1">
      <c r="A81" s="137"/>
      <c r="B81" s="231"/>
      <c r="C81" s="248"/>
      <c r="D81" s="148"/>
      <c r="E81" s="140" t="s">
        <v>300</v>
      </c>
      <c r="G81" s="531"/>
      <c r="H81" s="239"/>
      <c r="I81" s="150"/>
      <c r="J81" s="240"/>
      <c r="K81" s="250"/>
      <c r="L81" s="239"/>
      <c r="M81" s="250"/>
      <c r="N81" s="239"/>
      <c r="O81" s="158"/>
      <c r="P81" s="239"/>
      <c r="Q81" s="158"/>
      <c r="R81" s="239"/>
      <c r="S81" s="158"/>
      <c r="T81" s="239"/>
      <c r="U81"/>
      <c r="V81" s="110"/>
      <c r="Y81" s="241"/>
      <c r="Z81" s="242"/>
    </row>
    <row r="82" spans="1:26" s="97" customFormat="1" ht="15" customHeight="1">
      <c r="A82" s="524" t="s">
        <v>280</v>
      </c>
      <c r="B82" s="525"/>
      <c r="C82" s="248"/>
      <c r="D82" s="148"/>
      <c r="E82" s="478" t="s">
        <v>281</v>
      </c>
      <c r="G82" s="531"/>
      <c r="H82" s="239"/>
      <c r="I82" s="150"/>
      <c r="J82" s="240"/>
      <c r="K82" s="158"/>
      <c r="L82" s="239"/>
      <c r="M82" s="250"/>
      <c r="N82" s="239"/>
      <c r="O82" s="158"/>
      <c r="P82" s="239"/>
      <c r="Q82" s="158"/>
      <c r="R82" s="239"/>
      <c r="S82" s="158"/>
      <c r="T82" s="239"/>
      <c r="U82"/>
      <c r="V82" s="110"/>
      <c r="Y82" s="241"/>
      <c r="Z82" s="242"/>
    </row>
    <row r="83" spans="1:26" s="97" customFormat="1" ht="15" customHeight="1">
      <c r="A83" s="221" t="s">
        <v>284</v>
      </c>
      <c r="B83" s="244"/>
      <c r="C83" s="248"/>
      <c r="D83" s="148"/>
      <c r="E83" s="530">
        <f>IF(ISNA([1]DE1!F48),0,[1]DE1!F48)</f>
        <v>153041656</v>
      </c>
      <c r="G83" s="531"/>
      <c r="H83" s="239"/>
      <c r="I83" s="150"/>
      <c r="J83" s="240"/>
      <c r="K83" s="158"/>
      <c r="L83" s="239"/>
      <c r="M83" s="250"/>
      <c r="N83" s="239"/>
      <c r="O83" s="158"/>
      <c r="P83" s="239"/>
      <c r="Q83" s="158"/>
      <c r="R83" s="239"/>
      <c r="S83" s="158"/>
      <c r="T83" s="239"/>
      <c r="U83"/>
      <c r="V83" s="110"/>
      <c r="Y83" s="241"/>
      <c r="Z83" s="242"/>
    </row>
    <row r="84" spans="1:26" s="97" customFormat="1" ht="15" customHeight="1">
      <c r="A84" s="485" t="s">
        <v>286</v>
      </c>
      <c r="B84" s="244"/>
      <c r="C84" s="248"/>
      <c r="D84" s="148"/>
      <c r="E84" s="530">
        <f>IF(ISNA([1]DE1!F49),0,[1]DE1!F49)</f>
        <v>158097616</v>
      </c>
      <c r="G84" s="531"/>
      <c r="H84" s="239"/>
      <c r="I84" s="150"/>
      <c r="J84" s="240"/>
      <c r="K84" s="158"/>
      <c r="L84" s="239"/>
      <c r="M84" s="250"/>
      <c r="N84" s="239"/>
      <c r="O84" s="158"/>
      <c r="P84" s="239"/>
      <c r="Q84" s="158"/>
      <c r="R84" s="239"/>
      <c r="S84" s="158"/>
      <c r="T84" s="239"/>
      <c r="U84"/>
      <c r="V84" s="110"/>
      <c r="Y84" s="241"/>
      <c r="Z84" s="242"/>
    </row>
    <row r="85" spans="1:26" s="97" customFormat="1" ht="15" customHeight="1">
      <c r="A85" s="146" t="s">
        <v>288</v>
      </c>
      <c r="B85" s="244"/>
      <c r="C85" s="248"/>
      <c r="D85" s="148"/>
      <c r="E85" s="530">
        <f>IF(ISNA([1]DE1!F50),0,[1]DE1!F50)</f>
        <v>153041656</v>
      </c>
      <c r="G85" s="531"/>
      <c r="H85" s="239"/>
      <c r="I85" s="150"/>
      <c r="J85" s="240"/>
      <c r="K85" s="158"/>
      <c r="L85" s="239"/>
      <c r="M85" s="158"/>
      <c r="N85" s="239"/>
      <c r="O85" s="158"/>
      <c r="P85" s="239"/>
      <c r="Q85" s="158"/>
      <c r="R85" s="239"/>
      <c r="S85" s="158"/>
      <c r="T85" s="239"/>
      <c r="U85"/>
      <c r="V85" s="110"/>
      <c r="Y85" s="241"/>
      <c r="Z85" s="242"/>
    </row>
    <row r="86" spans="1:26" s="97" customFormat="1" ht="15" customHeight="1">
      <c r="A86" s="245" t="s">
        <v>290</v>
      </c>
      <c r="B86" s="244"/>
      <c r="C86" s="248"/>
      <c r="D86" s="148"/>
      <c r="E86" s="530">
        <f>IF(ISNA([1]DE1!F51),0,[1]DE1!F51)</f>
        <v>153041656</v>
      </c>
      <c r="G86" s="531"/>
      <c r="H86" s="239"/>
      <c r="I86" s="150"/>
      <c r="J86" s="240"/>
      <c r="K86" s="158"/>
      <c r="L86" s="239"/>
      <c r="M86" s="158"/>
      <c r="N86" s="239"/>
      <c r="O86" s="158"/>
      <c r="P86" s="239"/>
      <c r="Q86" s="158"/>
      <c r="R86" s="239"/>
      <c r="S86" s="158"/>
      <c r="T86" s="239"/>
      <c r="U86"/>
      <c r="V86" s="110"/>
      <c r="Y86" s="241"/>
      <c r="Z86" s="242"/>
    </row>
    <row r="87" spans="1:26" s="97" customFormat="1" ht="15" customHeight="1">
      <c r="A87" s="146" t="s">
        <v>292</v>
      </c>
      <c r="B87" s="244"/>
      <c r="C87" s="248"/>
      <c r="D87" s="148"/>
      <c r="E87" s="530">
        <f>IF(ISNA([1]DE1!F52),0,[1]DE1!F52)</f>
        <v>158097616</v>
      </c>
      <c r="G87" s="531"/>
      <c r="H87" s="239"/>
      <c r="I87" s="150"/>
      <c r="J87" s="240"/>
      <c r="K87" s="158"/>
      <c r="L87" s="239"/>
      <c r="M87" s="158"/>
      <c r="N87" s="239"/>
      <c r="O87" s="158"/>
      <c r="P87" s="239"/>
      <c r="Q87" s="158"/>
      <c r="R87" s="239"/>
      <c r="S87" s="158"/>
      <c r="T87" s="239"/>
      <c r="U87"/>
      <c r="V87" s="110"/>
      <c r="Y87" s="241"/>
      <c r="Z87" s="242"/>
    </row>
    <row r="88" spans="1:26" s="97" customFormat="1" ht="15" customHeight="1">
      <c r="A88" s="246" t="s">
        <v>294</v>
      </c>
      <c r="B88" s="244"/>
      <c r="C88" s="248"/>
      <c r="D88" s="148"/>
      <c r="E88" s="530">
        <f>IF(ISNA([1]DE1!F53),0,[1]DE1!F53)</f>
        <v>158097616</v>
      </c>
      <c r="G88" s="531"/>
      <c r="H88" s="239"/>
      <c r="I88" s="150"/>
      <c r="J88" s="240"/>
      <c r="K88" s="158"/>
      <c r="L88" s="239"/>
      <c r="M88" s="158"/>
      <c r="N88" s="239"/>
      <c r="O88" s="158"/>
      <c r="P88" s="239"/>
      <c r="Q88" s="158"/>
      <c r="R88" s="239"/>
      <c r="S88" s="158"/>
      <c r="T88" s="239"/>
      <c r="U88"/>
      <c r="V88" s="110"/>
      <c r="Y88" s="241"/>
      <c r="Z88" s="242"/>
    </row>
    <row r="89" spans="1:26" s="97" customFormat="1" ht="15" customHeight="1">
      <c r="A89" s="219" t="s">
        <v>301</v>
      </c>
      <c r="B89" s="196"/>
      <c r="C89" s="537"/>
      <c r="D89" s="148"/>
      <c r="E89" s="158"/>
      <c r="G89" s="150"/>
      <c r="H89" s="239"/>
      <c r="I89" s="150"/>
      <c r="J89" s="240"/>
      <c r="K89" s="251">
        <v>0</v>
      </c>
      <c r="L89" s="239"/>
      <c r="M89" s="536">
        <v>0</v>
      </c>
      <c r="N89" s="239"/>
      <c r="O89" s="538">
        <v>0</v>
      </c>
      <c r="P89" s="239"/>
      <c r="Q89" s="539">
        <v>0</v>
      </c>
      <c r="R89" s="239"/>
      <c r="S89" s="540">
        <v>0</v>
      </c>
      <c r="T89" s="239"/>
      <c r="U89"/>
      <c r="V89" s="110"/>
      <c r="Y89" s="241"/>
      <c r="Z89" s="242"/>
    </row>
    <row r="90" spans="1:26" s="97" customFormat="1" ht="15" customHeight="1">
      <c r="A90" s="137"/>
      <c r="B90" s="231"/>
      <c r="C90" s="139"/>
      <c r="D90" s="139"/>
      <c r="E90" s="140"/>
      <c r="F90" s="140"/>
      <c r="G90" s="140"/>
      <c r="H90" s="140"/>
      <c r="I90" s="252"/>
      <c r="J90" s="253"/>
      <c r="K90" s="252"/>
      <c r="L90" s="140"/>
      <c r="M90" s="140"/>
      <c r="N90" s="140"/>
      <c r="O90" s="140"/>
      <c r="P90" s="140"/>
      <c r="Q90" s="140"/>
      <c r="R90" s="140"/>
      <c r="S90" s="234"/>
      <c r="T90" s="254"/>
      <c r="U90"/>
      <c r="V90" s="110"/>
      <c r="Y90" s="241"/>
      <c r="Z90" s="242"/>
    </row>
    <row r="91" spans="1:26" s="97" customFormat="1" ht="18" customHeight="1">
      <c r="A91" s="524" t="s">
        <v>302</v>
      </c>
      <c r="B91" s="525"/>
      <c r="C91" s="477" t="s">
        <v>168</v>
      </c>
      <c r="D91" s="477"/>
      <c r="E91" s="541" t="s">
        <v>169</v>
      </c>
      <c r="F91" s="478"/>
      <c r="G91" s="478" t="s">
        <v>170</v>
      </c>
      <c r="H91" s="478"/>
      <c r="I91" s="224" t="s">
        <v>171</v>
      </c>
      <c r="J91" s="141"/>
      <c r="K91" s="478" t="s">
        <v>170</v>
      </c>
      <c r="L91" s="478"/>
      <c r="M91" s="478" t="s">
        <v>171</v>
      </c>
      <c r="N91" s="478"/>
      <c r="O91" s="478" t="str">
        <f>O68</f>
        <v>2021-22</v>
      </c>
      <c r="P91" s="478"/>
      <c r="Q91" s="478" t="str">
        <f>Q68</f>
        <v>2022-23</v>
      </c>
      <c r="R91" s="478"/>
      <c r="S91" s="541" t="s">
        <v>174</v>
      </c>
      <c r="T91" s="225"/>
      <c r="U91"/>
      <c r="V91" s="255"/>
      <c r="W91" s="256"/>
      <c r="Y91" s="153"/>
      <c r="Z91" s="154"/>
    </row>
    <row r="92" spans="1:26" s="97" customFormat="1" ht="15.75">
      <c r="A92" s="257" t="s">
        <v>303</v>
      </c>
      <c r="B92" s="258"/>
      <c r="C92" s="542">
        <v>0</v>
      </c>
      <c r="D92" s="259"/>
      <c r="E92" s="543">
        <f>'[1]TEA SOF 18-19'!M37</f>
        <v>1.17</v>
      </c>
      <c r="F92" s="260"/>
      <c r="G92" s="261">
        <v>1.079</v>
      </c>
      <c r="H92" s="262"/>
      <c r="I92" s="261">
        <v>1.079</v>
      </c>
      <c r="J92" s="262"/>
      <c r="K92" s="263">
        <f>E92-E97</f>
        <v>1.17</v>
      </c>
      <c r="L92" s="260"/>
      <c r="M92" s="544">
        <f>K92</f>
        <v>1.17</v>
      </c>
      <c r="N92" s="260"/>
      <c r="O92" s="545">
        <f>M92</f>
        <v>1.17</v>
      </c>
      <c r="P92" s="260"/>
      <c r="Q92" s="546">
        <f>O92</f>
        <v>1.17</v>
      </c>
      <c r="R92" s="260"/>
      <c r="S92" s="547">
        <f>Q92</f>
        <v>1.17</v>
      </c>
      <c r="U92" s="128" t="s">
        <v>304</v>
      </c>
      <c r="V92" s="264"/>
      <c r="Y92" s="153"/>
      <c r="Z92" s="154"/>
    </row>
    <row r="93" spans="1:26" s="97" customFormat="1" ht="15.75">
      <c r="A93" s="257" t="s">
        <v>305</v>
      </c>
      <c r="B93" s="265"/>
      <c r="C93" s="548">
        <v>0</v>
      </c>
      <c r="D93" s="259"/>
      <c r="E93" s="549">
        <v>0</v>
      </c>
      <c r="F93" s="141"/>
      <c r="G93" s="266">
        <v>1305123361</v>
      </c>
      <c r="H93" s="267"/>
      <c r="I93" s="266">
        <v>1305123361</v>
      </c>
      <c r="J93" s="267"/>
      <c r="K93" s="268">
        <f>(K96/(K95*100))*(K92*100)</f>
        <v>2029425.9570000002</v>
      </c>
      <c r="L93" s="141"/>
      <c r="M93" s="268">
        <f>(M96/(M95*100))*(M92*100)</f>
        <v>2110805.9387999997</v>
      </c>
      <c r="N93" s="141"/>
      <c r="O93" s="268" t="e">
        <f>(O96/(O95*100))*(O92*100)</f>
        <v>#DIV/0!</v>
      </c>
      <c r="P93" s="141"/>
      <c r="Q93" s="268" t="e">
        <f>(Q96/(Q95*100))*(Q92*100)</f>
        <v>#DIV/0!</v>
      </c>
      <c r="R93" s="141"/>
      <c r="S93" s="268" t="e">
        <f>(S96/(S95*100))*(S92*100)</f>
        <v>#DIV/0!</v>
      </c>
      <c r="T93" s="269"/>
      <c r="U93" s="128" t="s">
        <v>306</v>
      </c>
      <c r="V93" s="110"/>
      <c r="Y93" s="241"/>
      <c r="Z93" s="242"/>
    </row>
    <row r="94" spans="1:26" s="97" customFormat="1" ht="15.75">
      <c r="A94" s="270" t="s">
        <v>307</v>
      </c>
      <c r="B94" s="270"/>
      <c r="C94" s="550"/>
      <c r="D94" s="148"/>
      <c r="E94" s="158"/>
      <c r="G94" s="271"/>
      <c r="H94" s="269"/>
      <c r="I94" s="271"/>
      <c r="J94" s="267"/>
      <c r="K94" s="263">
        <f>'[1]HB3-RollbackRates'!E15</f>
        <v>1.0683</v>
      </c>
      <c r="L94" s="269"/>
      <c r="M94" s="544">
        <f>'[1]HB3-RollbackRates'!H15</f>
        <v>1.0547</v>
      </c>
      <c r="N94" s="269"/>
      <c r="O94" s="545">
        <f>'[1]HB3-RollbackRates'!K15</f>
        <v>1.0413000000000001</v>
      </c>
      <c r="P94" s="269"/>
      <c r="Q94" s="546" t="e">
        <f>'[1]HB3-RollbackRates'!N15</f>
        <v>#DIV/0!</v>
      </c>
      <c r="R94" s="269"/>
      <c r="S94" s="547" t="e">
        <f>'[1]HB3-RollbackRates'!Q15</f>
        <v>#DIV/0!</v>
      </c>
      <c r="T94" s="269"/>
      <c r="U94" s="128" t="s">
        <v>308</v>
      </c>
      <c r="V94" s="264"/>
      <c r="Y94" s="153"/>
      <c r="Z94" s="154"/>
    </row>
    <row r="95" spans="1:26" s="97" customFormat="1" ht="15.75">
      <c r="A95" s="270" t="s">
        <v>309</v>
      </c>
      <c r="B95" s="270"/>
      <c r="C95" s="550"/>
      <c r="D95" s="148"/>
      <c r="E95" s="158"/>
      <c r="G95" s="271"/>
      <c r="H95" s="269"/>
      <c r="I95" s="271"/>
      <c r="J95" s="267"/>
      <c r="K95" s="272">
        <f>K94</f>
        <v>1.0683</v>
      </c>
      <c r="L95" s="269"/>
      <c r="M95" s="551">
        <f>M94</f>
        <v>1.0547</v>
      </c>
      <c r="N95" s="269"/>
      <c r="O95" s="552">
        <v>0</v>
      </c>
      <c r="P95" s="269"/>
      <c r="Q95" s="553">
        <v>0</v>
      </c>
      <c r="R95" s="269"/>
      <c r="S95" s="554">
        <v>0</v>
      </c>
      <c r="T95" s="269"/>
      <c r="U95" s="128" t="s">
        <v>310</v>
      </c>
      <c r="V95" s="264"/>
      <c r="Y95" s="153"/>
      <c r="Z95" s="154"/>
    </row>
    <row r="96" spans="1:26" s="97" customFormat="1" ht="15.75">
      <c r="A96" s="270" t="s">
        <v>311</v>
      </c>
      <c r="B96" s="273"/>
      <c r="C96" s="555"/>
      <c r="D96" s="148"/>
      <c r="E96" s="158"/>
      <c r="G96" s="274"/>
      <c r="H96" s="269"/>
      <c r="I96" s="274"/>
      <c r="J96" s="267"/>
      <c r="K96" s="275">
        <f>(K73/100)*K95</f>
        <v>1853022.0084300002</v>
      </c>
      <c r="L96" s="269"/>
      <c r="M96" s="536">
        <f>(M73/100)*M95</f>
        <v>1902792.3279079997</v>
      </c>
      <c r="N96" s="269"/>
      <c r="O96" s="533">
        <v>0</v>
      </c>
      <c r="P96" s="269"/>
      <c r="Q96" s="534">
        <v>0</v>
      </c>
      <c r="R96" s="269"/>
      <c r="S96" s="535">
        <v>0</v>
      </c>
      <c r="T96" s="269"/>
      <c r="U96" s="128" t="s">
        <v>312</v>
      </c>
      <c r="V96" s="110"/>
      <c r="Y96" s="241"/>
      <c r="Z96" s="242"/>
    </row>
    <row r="97" spans="1:26" s="97" customFormat="1" ht="15.75">
      <c r="A97" s="276" t="s">
        <v>313</v>
      </c>
      <c r="B97" s="276"/>
      <c r="C97" s="555"/>
      <c r="D97" s="148"/>
      <c r="E97" s="556">
        <v>0</v>
      </c>
      <c r="G97" s="150"/>
      <c r="H97" s="269"/>
      <c r="I97" s="150"/>
      <c r="J97" s="267"/>
      <c r="K97" s="158"/>
      <c r="L97" s="269"/>
      <c r="M97" s="158"/>
      <c r="N97" s="269"/>
      <c r="O97" s="158"/>
      <c r="P97" s="269"/>
      <c r="Q97" s="158"/>
      <c r="R97" s="269"/>
      <c r="S97" s="158"/>
      <c r="T97" s="269"/>
      <c r="U97"/>
      <c r="V97" s="110"/>
      <c r="Y97" s="241"/>
      <c r="Z97" s="242"/>
    </row>
    <row r="98" spans="1:26" s="97" customFormat="1" ht="15.75">
      <c r="A98" s="171" t="s">
        <v>314</v>
      </c>
      <c r="B98" s="171"/>
      <c r="C98" s="555">
        <v>0</v>
      </c>
      <c r="D98" s="148"/>
      <c r="E98" s="557">
        <v>0</v>
      </c>
      <c r="G98" s="558">
        <v>0</v>
      </c>
      <c r="H98" s="269"/>
      <c r="I98" s="558">
        <v>0</v>
      </c>
      <c r="J98" s="267"/>
      <c r="K98" s="275">
        <v>0</v>
      </c>
      <c r="L98" s="269"/>
      <c r="M98" s="536">
        <v>0</v>
      </c>
      <c r="N98" s="269"/>
      <c r="O98" s="533">
        <v>0</v>
      </c>
      <c r="P98" s="269"/>
      <c r="Q98" s="534">
        <v>0</v>
      </c>
      <c r="R98" s="269"/>
      <c r="S98" s="535">
        <v>0</v>
      </c>
      <c r="T98" s="269"/>
      <c r="U98" t="s">
        <v>315</v>
      </c>
      <c r="V98" s="110"/>
      <c r="Y98" s="241"/>
      <c r="Z98" s="242"/>
    </row>
    <row r="99" spans="1:26" s="97" customFormat="1" ht="15.75" hidden="1">
      <c r="A99" s="146" t="s">
        <v>316</v>
      </c>
      <c r="B99" s="171"/>
      <c r="C99" s="555">
        <v>0</v>
      </c>
      <c r="D99" s="148"/>
      <c r="E99" s="557">
        <v>0</v>
      </c>
      <c r="G99" s="558">
        <v>0</v>
      </c>
      <c r="H99" s="239"/>
      <c r="I99" s="558">
        <v>0</v>
      </c>
      <c r="J99" s="240"/>
      <c r="K99" s="275">
        <v>0</v>
      </c>
      <c r="L99" s="239"/>
      <c r="M99" s="536">
        <v>0</v>
      </c>
      <c r="N99" s="239"/>
      <c r="O99" s="533">
        <v>0</v>
      </c>
      <c r="P99" s="239"/>
      <c r="Q99" s="534">
        <v>0</v>
      </c>
      <c r="R99" s="239"/>
      <c r="S99" s="535">
        <v>0</v>
      </c>
      <c r="T99" s="239"/>
      <c r="U99" t="s">
        <v>317</v>
      </c>
      <c r="V99" s="110"/>
      <c r="Y99" s="241"/>
      <c r="Z99" s="242"/>
    </row>
    <row r="100" spans="1:26" s="97" customFormat="1" ht="15.75">
      <c r="A100" s="171" t="s">
        <v>318</v>
      </c>
      <c r="B100" s="171"/>
      <c r="C100" s="550">
        <v>0</v>
      </c>
      <c r="D100" s="148"/>
      <c r="E100" s="556">
        <f>'[1]TEA SOF 18-19'!M39</f>
        <v>0.33879999999999999</v>
      </c>
      <c r="F100" s="260"/>
      <c r="G100" s="277"/>
      <c r="H100" s="269"/>
      <c r="I100" s="277"/>
      <c r="J100" s="267"/>
      <c r="K100" s="272">
        <f>'[1]TEA SOF 19-20'!N34</f>
        <v>0.31869999999999998</v>
      </c>
      <c r="L100" s="269"/>
      <c r="M100" s="551">
        <f>M101/(M79/100)</f>
        <v>0.4352500829717677</v>
      </c>
      <c r="N100" s="269"/>
      <c r="O100" s="552">
        <v>0</v>
      </c>
      <c r="P100" s="269"/>
      <c r="Q100" s="553">
        <v>0</v>
      </c>
      <c r="R100" s="269"/>
      <c r="S100" s="554">
        <v>0</v>
      </c>
      <c r="T100" s="269"/>
      <c r="U100" t="s">
        <v>319</v>
      </c>
      <c r="V100" s="110"/>
      <c r="Y100" s="241"/>
      <c r="Z100" s="242"/>
    </row>
    <row r="101" spans="1:26" s="97" customFormat="1" ht="15.75">
      <c r="A101" s="97" t="s">
        <v>320</v>
      </c>
      <c r="C101" s="555">
        <v>0</v>
      </c>
      <c r="D101" s="148"/>
      <c r="E101" s="557">
        <v>0</v>
      </c>
      <c r="G101" s="150"/>
      <c r="H101" s="239"/>
      <c r="I101" s="150"/>
      <c r="J101" s="240"/>
      <c r="K101" s="275">
        <f>(K79/100)*K100</f>
        <v>552801.75427000003</v>
      </c>
      <c r="L101" s="239"/>
      <c r="M101" s="536">
        <f>M120</f>
        <v>785238</v>
      </c>
      <c r="N101" s="239"/>
      <c r="O101" s="533">
        <v>0</v>
      </c>
      <c r="P101" s="239"/>
      <c r="Q101" s="534">
        <v>0</v>
      </c>
      <c r="R101" s="239"/>
      <c r="S101" s="535">
        <v>0</v>
      </c>
      <c r="T101" s="239"/>
      <c r="U101" t="s">
        <v>321</v>
      </c>
      <c r="V101" s="110"/>
      <c r="Y101" s="241"/>
      <c r="Z101" s="242"/>
    </row>
    <row r="102" spans="1:26" s="97" customFormat="1" ht="15.75">
      <c r="A102" s="278" t="s">
        <v>322</v>
      </c>
      <c r="B102" s="279"/>
      <c r="C102" s="280">
        <v>0</v>
      </c>
      <c r="D102" s="148"/>
      <c r="E102" s="557">
        <v>0</v>
      </c>
      <c r="G102" s="150"/>
      <c r="H102" s="239"/>
      <c r="I102" s="150"/>
      <c r="J102" s="240"/>
      <c r="K102" s="275">
        <v>0</v>
      </c>
      <c r="L102" s="239"/>
      <c r="M102" s="281">
        <v>0</v>
      </c>
      <c r="N102" s="239"/>
      <c r="O102" s="282">
        <v>0</v>
      </c>
      <c r="P102" s="239"/>
      <c r="Q102" s="283">
        <v>0</v>
      </c>
      <c r="R102" s="239"/>
      <c r="S102" s="284">
        <v>0</v>
      </c>
      <c r="T102" s="239"/>
      <c r="U102" t="s">
        <v>323</v>
      </c>
      <c r="V102" s="110"/>
      <c r="Y102" s="241"/>
      <c r="Z102" s="242"/>
    </row>
    <row r="103" spans="1:26" ht="18">
      <c r="A103" s="144" t="s">
        <v>324</v>
      </c>
      <c r="B103" s="145"/>
      <c r="C103" s="165"/>
      <c r="D103" s="165"/>
      <c r="E103" s="285"/>
      <c r="F103" s="141"/>
      <c r="G103" s="166"/>
      <c r="H103" s="166"/>
      <c r="I103" s="166"/>
      <c r="J103" s="141"/>
      <c r="K103" s="166"/>
      <c r="L103" s="166"/>
      <c r="M103" s="166"/>
      <c r="N103" s="166"/>
      <c r="O103" s="166"/>
      <c r="P103" s="166"/>
      <c r="Q103" s="166"/>
      <c r="R103" s="166"/>
      <c r="S103" s="167"/>
      <c r="T103" s="225"/>
      <c r="U103" s="128"/>
      <c r="Y103" s="286"/>
      <c r="Z103" s="287"/>
    </row>
    <row r="104" spans="1:26" ht="15.75">
      <c r="A104" s="507" t="s">
        <v>325</v>
      </c>
      <c r="B104" s="507"/>
      <c r="C104" s="555">
        <v>0</v>
      </c>
      <c r="E104" s="557">
        <v>0</v>
      </c>
      <c r="F104" s="141"/>
      <c r="G104" s="558">
        <v>0</v>
      </c>
      <c r="H104" s="239"/>
      <c r="I104" s="558">
        <v>0</v>
      </c>
      <c r="J104" s="240"/>
      <c r="K104" s="275">
        <v>0</v>
      </c>
      <c r="L104" s="239"/>
      <c r="M104" s="559">
        <f>K104</f>
        <v>0</v>
      </c>
      <c r="N104" s="239"/>
      <c r="O104" s="560">
        <f>M104</f>
        <v>0</v>
      </c>
      <c r="P104" s="239"/>
      <c r="Q104" s="561">
        <f>O104</f>
        <v>0</v>
      </c>
      <c r="R104" s="239"/>
      <c r="S104" s="562">
        <f>Q104</f>
        <v>0</v>
      </c>
      <c r="T104" s="239"/>
      <c r="U104" s="195" t="s">
        <v>326</v>
      </c>
      <c r="V104" s="288"/>
      <c r="W104" s="289"/>
      <c r="X104" s="289"/>
      <c r="Y104" s="289"/>
      <c r="Z104" s="289"/>
    </row>
    <row r="105" spans="1:26" ht="15.75">
      <c r="A105" s="518" t="s">
        <v>327</v>
      </c>
      <c r="B105" s="518"/>
      <c r="C105" s="555"/>
      <c r="E105" s="158"/>
      <c r="F105" s="141"/>
      <c r="G105" s="150"/>
      <c r="H105" s="239"/>
      <c r="I105" s="150"/>
      <c r="J105" s="240"/>
      <c r="K105" s="275">
        <v>0</v>
      </c>
      <c r="L105" s="239"/>
      <c r="M105" s="559">
        <f t="shared" ref="M105:M118" si="13">K105</f>
        <v>0</v>
      </c>
      <c r="N105" s="239"/>
      <c r="O105" s="560">
        <f t="shared" ref="O105:O108" si="14">M105</f>
        <v>0</v>
      </c>
      <c r="P105" s="239"/>
      <c r="Q105" s="561">
        <f t="shared" ref="Q105:Q108" si="15">O105</f>
        <v>0</v>
      </c>
      <c r="R105" s="239"/>
      <c r="S105" s="562">
        <f t="shared" ref="S105:S108" si="16">Q105</f>
        <v>0</v>
      </c>
      <c r="T105" s="239"/>
      <c r="U105" s="128" t="s">
        <v>328</v>
      </c>
      <c r="V105" s="288"/>
      <c r="W105" s="289"/>
      <c r="X105" s="289"/>
      <c r="Y105" s="289"/>
      <c r="Z105" s="289"/>
    </row>
    <row r="106" spans="1:26" ht="15.75">
      <c r="A106" s="518" t="s">
        <v>329</v>
      </c>
      <c r="B106" s="518"/>
      <c r="C106" s="555"/>
      <c r="E106" s="158"/>
      <c r="F106" s="141"/>
      <c r="G106" s="150"/>
      <c r="H106" s="239"/>
      <c r="I106" s="150"/>
      <c r="J106" s="240"/>
      <c r="K106" s="275">
        <v>0</v>
      </c>
      <c r="L106" s="239"/>
      <c r="M106" s="559">
        <f t="shared" si="13"/>
        <v>0</v>
      </c>
      <c r="N106" s="239"/>
      <c r="O106" s="560">
        <f t="shared" si="14"/>
        <v>0</v>
      </c>
      <c r="P106" s="239"/>
      <c r="Q106" s="561">
        <f t="shared" si="15"/>
        <v>0</v>
      </c>
      <c r="R106" s="239"/>
      <c r="S106" s="562">
        <f t="shared" si="16"/>
        <v>0</v>
      </c>
      <c r="T106" s="239"/>
      <c r="U106" s="187" t="s">
        <v>330</v>
      </c>
      <c r="V106" s="288"/>
      <c r="W106" s="289"/>
      <c r="X106" s="289"/>
      <c r="Y106" s="289"/>
      <c r="Z106" s="289"/>
    </row>
    <row r="107" spans="1:26" ht="15.75">
      <c r="A107" s="518" t="s">
        <v>331</v>
      </c>
      <c r="B107" s="518"/>
      <c r="C107" s="555"/>
      <c r="E107" s="158"/>
      <c r="F107" s="141"/>
      <c r="G107" s="150"/>
      <c r="H107" s="239"/>
      <c r="I107" s="150"/>
      <c r="J107" s="240"/>
      <c r="K107" s="275">
        <v>0</v>
      </c>
      <c r="L107" s="239"/>
      <c r="M107" s="559">
        <f t="shared" si="13"/>
        <v>0</v>
      </c>
      <c r="N107" s="239"/>
      <c r="O107" s="560">
        <f t="shared" si="14"/>
        <v>0</v>
      </c>
      <c r="P107" s="239"/>
      <c r="Q107" s="561">
        <f t="shared" si="15"/>
        <v>0</v>
      </c>
      <c r="R107" s="239"/>
      <c r="S107" s="562">
        <f t="shared" si="16"/>
        <v>0</v>
      </c>
      <c r="T107" s="239"/>
      <c r="U107" s="187" t="s">
        <v>330</v>
      </c>
      <c r="V107" s="288"/>
      <c r="W107" s="289"/>
      <c r="X107" s="289"/>
      <c r="Y107" s="289"/>
      <c r="Z107" s="289"/>
    </row>
    <row r="108" spans="1:26" ht="15.75">
      <c r="A108" s="518" t="s">
        <v>332</v>
      </c>
      <c r="B108" s="518"/>
      <c r="C108" s="555"/>
      <c r="E108" s="158"/>
      <c r="F108" s="141"/>
      <c r="G108" s="150"/>
      <c r="H108" s="239"/>
      <c r="I108" s="150"/>
      <c r="J108" s="240"/>
      <c r="K108" s="275">
        <v>0</v>
      </c>
      <c r="L108" s="239"/>
      <c r="M108" s="559">
        <f t="shared" si="13"/>
        <v>0</v>
      </c>
      <c r="N108" s="239"/>
      <c r="O108" s="560">
        <f t="shared" si="14"/>
        <v>0</v>
      </c>
      <c r="P108" s="239"/>
      <c r="Q108" s="561">
        <f t="shared" si="15"/>
        <v>0</v>
      </c>
      <c r="R108" s="239"/>
      <c r="S108" s="562">
        <f t="shared" si="16"/>
        <v>0</v>
      </c>
      <c r="T108" s="239"/>
      <c r="U108" s="187" t="s">
        <v>330</v>
      </c>
      <c r="V108" s="288"/>
      <c r="W108" s="289"/>
      <c r="X108" s="289"/>
      <c r="Y108" s="289"/>
      <c r="Z108" s="289"/>
    </row>
    <row r="109" spans="1:26" ht="15.75">
      <c r="A109" s="509" t="s">
        <v>333</v>
      </c>
      <c r="B109" s="509"/>
      <c r="C109" s="555"/>
      <c r="E109" s="158"/>
      <c r="F109" s="141"/>
      <c r="G109" s="150"/>
      <c r="H109" s="239"/>
      <c r="I109" s="150"/>
      <c r="J109" s="240"/>
      <c r="K109" s="290" t="s">
        <v>180</v>
      </c>
      <c r="L109" s="239"/>
      <c r="M109" s="563" t="str">
        <f t="shared" si="13"/>
        <v>N</v>
      </c>
      <c r="N109" s="239"/>
      <c r="O109" s="564" t="str">
        <f>M109</f>
        <v>N</v>
      </c>
      <c r="P109" s="239"/>
      <c r="Q109" s="565" t="str">
        <f>O109</f>
        <v>N</v>
      </c>
      <c r="R109" s="239"/>
      <c r="S109" s="566" t="str">
        <f>Q109</f>
        <v>N</v>
      </c>
      <c r="T109" s="239"/>
      <c r="U109" s="128" t="s">
        <v>334</v>
      </c>
      <c r="V109" s="288"/>
      <c r="W109" s="289"/>
      <c r="X109" s="289"/>
      <c r="Y109" s="289"/>
      <c r="Z109" s="289"/>
    </row>
    <row r="110" spans="1:26" ht="15.75">
      <c r="A110" s="567" t="s">
        <v>335</v>
      </c>
      <c r="B110" s="567"/>
      <c r="C110" s="555"/>
      <c r="E110" s="568"/>
      <c r="F110" s="141"/>
      <c r="G110" s="150"/>
      <c r="H110" s="239"/>
      <c r="I110" s="150"/>
      <c r="J110" s="240"/>
      <c r="K110" s="275">
        <v>0</v>
      </c>
      <c r="L110" s="239"/>
      <c r="M110" s="569">
        <f>K110</f>
        <v>0</v>
      </c>
      <c r="N110" s="239"/>
      <c r="O110" s="570">
        <f>M110</f>
        <v>0</v>
      </c>
      <c r="P110" s="239"/>
      <c r="Q110" s="571">
        <f>O110</f>
        <v>0</v>
      </c>
      <c r="R110" s="239"/>
      <c r="S110" s="572">
        <f>Q110</f>
        <v>0</v>
      </c>
      <c r="T110" s="239"/>
      <c r="U110" t="s">
        <v>336</v>
      </c>
      <c r="V110" s="288"/>
      <c r="W110" s="289"/>
      <c r="X110" s="289"/>
      <c r="Y110" s="289"/>
      <c r="Z110" s="289"/>
    </row>
    <row r="111" spans="1:26" ht="15.75">
      <c r="A111" s="567" t="s">
        <v>337</v>
      </c>
      <c r="B111" s="567"/>
      <c r="C111" s="555"/>
      <c r="E111" s="568"/>
      <c r="F111" s="141"/>
      <c r="G111" s="150"/>
      <c r="H111" s="239"/>
      <c r="I111" s="150"/>
      <c r="J111" s="240"/>
      <c r="K111" s="275">
        <v>0</v>
      </c>
      <c r="L111" s="239"/>
      <c r="M111" s="569">
        <f>K111</f>
        <v>0</v>
      </c>
      <c r="N111" s="239"/>
      <c r="O111" s="570">
        <f>M111</f>
        <v>0</v>
      </c>
      <c r="P111" s="239"/>
      <c r="Q111" s="571">
        <f>O111</f>
        <v>0</v>
      </c>
      <c r="R111" s="239"/>
      <c r="S111" s="572">
        <f>Q111</f>
        <v>0</v>
      </c>
      <c r="T111" s="239"/>
      <c r="U111" t="s">
        <v>336</v>
      </c>
      <c r="V111" s="288"/>
      <c r="W111" s="289"/>
      <c r="X111" s="289"/>
      <c r="Y111" s="289"/>
      <c r="Z111" s="289"/>
    </row>
    <row r="112" spans="1:26" ht="15.75">
      <c r="A112" s="171" t="s">
        <v>338</v>
      </c>
      <c r="B112" s="171"/>
      <c r="C112" s="550">
        <v>0</v>
      </c>
      <c r="E112" s="573">
        <v>0</v>
      </c>
      <c r="F112" s="141"/>
      <c r="G112" s="150"/>
      <c r="H112" s="151"/>
      <c r="I112" s="150"/>
      <c r="J112" s="141"/>
      <c r="K112" s="152">
        <v>0</v>
      </c>
      <c r="L112" s="151"/>
      <c r="M112" s="574">
        <f t="shared" si="13"/>
        <v>0</v>
      </c>
      <c r="N112" s="151"/>
      <c r="O112" s="575">
        <f t="shared" ref="O112:O118" si="17">M112</f>
        <v>0</v>
      </c>
      <c r="P112" s="151"/>
      <c r="Q112" s="576">
        <f t="shared" ref="Q112:Q118" si="18">O112</f>
        <v>0</v>
      </c>
      <c r="R112" s="151"/>
      <c r="S112" s="577">
        <f t="shared" ref="S112:S118" si="19">Q112</f>
        <v>0</v>
      </c>
      <c r="T112" s="151"/>
      <c r="U112" t="s">
        <v>339</v>
      </c>
      <c r="W112" s="291"/>
      <c r="Z112" s="292"/>
    </row>
    <row r="113" spans="1:26" ht="15.75">
      <c r="A113" s="171" t="s">
        <v>340</v>
      </c>
      <c r="B113" s="171"/>
      <c r="C113" s="550">
        <v>0</v>
      </c>
      <c r="E113" s="573">
        <v>0</v>
      </c>
      <c r="F113" s="141"/>
      <c r="G113" s="150"/>
      <c r="H113" s="151"/>
      <c r="I113" s="150"/>
      <c r="J113" s="141"/>
      <c r="K113" s="152">
        <v>0</v>
      </c>
      <c r="L113" s="151"/>
      <c r="M113" s="574">
        <f t="shared" si="13"/>
        <v>0</v>
      </c>
      <c r="N113" s="151"/>
      <c r="O113" s="575">
        <f t="shared" si="17"/>
        <v>0</v>
      </c>
      <c r="P113" s="151"/>
      <c r="Q113" s="576">
        <f t="shared" si="18"/>
        <v>0</v>
      </c>
      <c r="R113" s="151"/>
      <c r="S113" s="577">
        <f t="shared" si="19"/>
        <v>0</v>
      </c>
      <c r="T113" s="151"/>
      <c r="U113" s="293" t="s">
        <v>341</v>
      </c>
      <c r="W113" s="291"/>
      <c r="Y113" s="294"/>
      <c r="Z113" s="292"/>
    </row>
    <row r="114" spans="1:26" ht="15.75">
      <c r="A114" s="171" t="s">
        <v>342</v>
      </c>
      <c r="B114" s="171"/>
      <c r="C114" s="555">
        <v>0</v>
      </c>
      <c r="E114" s="557">
        <v>0</v>
      </c>
      <c r="F114" s="141"/>
      <c r="G114" s="150"/>
      <c r="H114" s="239"/>
      <c r="I114" s="150"/>
      <c r="J114" s="240"/>
      <c r="K114" s="275">
        <v>0</v>
      </c>
      <c r="L114" s="239"/>
      <c r="M114" s="578">
        <f t="shared" si="13"/>
        <v>0</v>
      </c>
      <c r="N114" s="239"/>
      <c r="O114" s="579">
        <f t="shared" si="17"/>
        <v>0</v>
      </c>
      <c r="P114" s="239"/>
      <c r="Q114" s="580">
        <f t="shared" si="18"/>
        <v>0</v>
      </c>
      <c r="R114" s="239"/>
      <c r="S114" s="581">
        <f t="shared" si="19"/>
        <v>0</v>
      </c>
      <c r="T114" s="239"/>
      <c r="U114" t="s">
        <v>343</v>
      </c>
      <c r="W114" s="291"/>
      <c r="Y114" s="295"/>
      <c r="Z114" s="296"/>
    </row>
    <row r="115" spans="1:26" ht="15.75">
      <c r="A115" s="171" t="s">
        <v>344</v>
      </c>
      <c r="B115" s="171"/>
      <c r="C115" s="555">
        <v>0</v>
      </c>
      <c r="E115" s="557">
        <v>0</v>
      </c>
      <c r="F115" s="141"/>
      <c r="G115" s="150"/>
      <c r="H115" s="239"/>
      <c r="I115" s="150"/>
      <c r="J115" s="240"/>
      <c r="K115" s="268">
        <f>E115</f>
        <v>0</v>
      </c>
      <c r="L115" s="239"/>
      <c r="M115" s="559">
        <f t="shared" si="13"/>
        <v>0</v>
      </c>
      <c r="N115" s="239"/>
      <c r="O115" s="560">
        <f t="shared" si="17"/>
        <v>0</v>
      </c>
      <c r="P115" s="239"/>
      <c r="Q115" s="561">
        <f t="shared" si="18"/>
        <v>0</v>
      </c>
      <c r="R115" s="239"/>
      <c r="S115" s="562">
        <f t="shared" si="19"/>
        <v>0</v>
      </c>
      <c r="T115" s="239"/>
      <c r="U115" t="s">
        <v>345</v>
      </c>
      <c r="W115" s="291"/>
      <c r="Y115" s="295"/>
      <c r="Z115" s="296"/>
    </row>
    <row r="116" spans="1:26" ht="15.75">
      <c r="A116" s="486" t="s">
        <v>346</v>
      </c>
      <c r="B116" s="486"/>
      <c r="C116" s="555">
        <v>0</v>
      </c>
      <c r="E116" s="557">
        <v>0</v>
      </c>
      <c r="F116" s="141"/>
      <c r="G116" s="150"/>
      <c r="H116" s="239"/>
      <c r="I116" s="150"/>
      <c r="J116" s="240"/>
      <c r="K116" s="268">
        <f>E116</f>
        <v>0</v>
      </c>
      <c r="L116" s="239"/>
      <c r="M116" s="559">
        <f t="shared" si="13"/>
        <v>0</v>
      </c>
      <c r="N116" s="239"/>
      <c r="O116" s="560">
        <f t="shared" si="17"/>
        <v>0</v>
      </c>
      <c r="P116" s="239"/>
      <c r="Q116" s="561">
        <f t="shared" si="18"/>
        <v>0</v>
      </c>
      <c r="R116" s="239"/>
      <c r="S116" s="562">
        <f t="shared" si="19"/>
        <v>0</v>
      </c>
      <c r="T116" s="239"/>
      <c r="U116" t="s">
        <v>347</v>
      </c>
      <c r="W116" s="291"/>
      <c r="Y116" s="286"/>
      <c r="Z116" s="287"/>
    </row>
    <row r="117" spans="1:26" ht="15.75">
      <c r="A117" s="174" t="s">
        <v>348</v>
      </c>
      <c r="B117" s="582"/>
      <c r="C117" s="555"/>
      <c r="E117" s="158"/>
      <c r="F117" s="177"/>
      <c r="G117" s="178"/>
      <c r="H117" s="297"/>
      <c r="I117" s="178"/>
      <c r="J117" s="297"/>
      <c r="K117" s="298">
        <v>0</v>
      </c>
      <c r="L117" s="240"/>
      <c r="M117" s="578">
        <f t="shared" si="13"/>
        <v>0</v>
      </c>
      <c r="N117" s="240"/>
      <c r="O117" s="579">
        <f t="shared" si="17"/>
        <v>0</v>
      </c>
      <c r="P117" s="240"/>
      <c r="Q117" s="580">
        <f t="shared" si="18"/>
        <v>0</v>
      </c>
      <c r="R117" s="240"/>
      <c r="S117" s="581">
        <f t="shared" si="19"/>
        <v>0</v>
      </c>
      <c r="T117" s="239"/>
      <c r="U117" s="299" t="s">
        <v>349</v>
      </c>
      <c r="W117" s="291"/>
      <c r="Y117" s="286"/>
      <c r="Z117" s="287"/>
    </row>
    <row r="118" spans="1:26" ht="15.75">
      <c r="A118" s="582" t="s">
        <v>350</v>
      </c>
      <c r="B118" s="582"/>
      <c r="C118" s="555"/>
      <c r="E118" s="158"/>
      <c r="F118" s="177"/>
      <c r="G118" s="178"/>
      <c r="H118" s="297"/>
      <c r="I118" s="178"/>
      <c r="J118" s="297"/>
      <c r="K118" s="298">
        <v>0</v>
      </c>
      <c r="L118" s="240"/>
      <c r="M118" s="578">
        <f t="shared" si="13"/>
        <v>0</v>
      </c>
      <c r="N118" s="240"/>
      <c r="O118" s="579">
        <f t="shared" si="17"/>
        <v>0</v>
      </c>
      <c r="P118" s="240"/>
      <c r="Q118" s="580">
        <f t="shared" si="18"/>
        <v>0</v>
      </c>
      <c r="R118" s="240"/>
      <c r="S118" s="581">
        <f t="shared" si="19"/>
        <v>0</v>
      </c>
      <c r="T118" s="239"/>
      <c r="U118" s="299" t="s">
        <v>351</v>
      </c>
      <c r="W118" s="291"/>
      <c r="Y118" s="286"/>
      <c r="Z118" s="287"/>
    </row>
    <row r="119" spans="1:26" ht="15.75" hidden="1">
      <c r="A119" s="171" t="s">
        <v>352</v>
      </c>
      <c r="B119" s="171"/>
      <c r="C119" s="555">
        <v>0</v>
      </c>
      <c r="E119" s="557">
        <v>0</v>
      </c>
      <c r="F119" s="141"/>
      <c r="G119" s="150"/>
      <c r="H119" s="239"/>
      <c r="I119" s="150"/>
      <c r="J119" s="240"/>
      <c r="K119" s="275">
        <v>0</v>
      </c>
      <c r="L119" s="239"/>
      <c r="M119" s="536">
        <v>0</v>
      </c>
      <c r="N119" s="239"/>
      <c r="O119" s="533">
        <v>0</v>
      </c>
      <c r="P119" s="239"/>
      <c r="Q119" s="534">
        <v>0</v>
      </c>
      <c r="R119" s="239"/>
      <c r="S119" s="535">
        <v>0</v>
      </c>
      <c r="T119" s="239"/>
      <c r="U119" t="s">
        <v>353</v>
      </c>
      <c r="W119" s="291"/>
      <c r="Y119" s="286"/>
      <c r="Z119" s="287"/>
    </row>
    <row r="120" spans="1:26" ht="15.75">
      <c r="A120" s="171" t="s">
        <v>354</v>
      </c>
      <c r="B120" s="171"/>
      <c r="C120" s="555">
        <v>0</v>
      </c>
      <c r="E120" s="557">
        <v>0</v>
      </c>
      <c r="F120" s="141"/>
      <c r="G120" s="150"/>
      <c r="H120" s="239"/>
      <c r="I120" s="150"/>
      <c r="J120" s="240"/>
      <c r="K120" s="583">
        <f>IF(ISNA([1]DE1!K118),0,[1]DE1!K118)</f>
        <v>785238</v>
      </c>
      <c r="L120" s="239"/>
      <c r="M120" s="536">
        <f>K120</f>
        <v>785238</v>
      </c>
      <c r="N120" s="239"/>
      <c r="O120" s="533">
        <v>0</v>
      </c>
      <c r="P120" s="239"/>
      <c r="Q120" s="534">
        <v>0</v>
      </c>
      <c r="R120" s="239"/>
      <c r="S120" s="275">
        <v>0</v>
      </c>
      <c r="T120" s="239"/>
      <c r="U120" t="s">
        <v>355</v>
      </c>
      <c r="W120" s="291"/>
      <c r="Y120" s="286"/>
      <c r="Z120" s="287"/>
    </row>
    <row r="121" spans="1:26" ht="15.75">
      <c r="A121" s="171" t="s">
        <v>356</v>
      </c>
      <c r="B121" s="171"/>
      <c r="C121" s="243">
        <v>0</v>
      </c>
      <c r="E121" s="557">
        <v>0</v>
      </c>
      <c r="F121" s="141"/>
      <c r="G121" s="150"/>
      <c r="H121" s="239"/>
      <c r="I121" s="150"/>
      <c r="J121" s="240"/>
      <c r="K121" s="583">
        <f>IF(ISNA([1]DE1!K119),0,[1]DE1!K119)</f>
        <v>795948</v>
      </c>
      <c r="L121" s="239"/>
      <c r="M121" s="536">
        <v>0</v>
      </c>
      <c r="N121" s="239"/>
      <c r="O121" s="533">
        <v>0</v>
      </c>
      <c r="P121" s="239"/>
      <c r="Q121" s="534">
        <v>0</v>
      </c>
      <c r="R121" s="239"/>
      <c r="S121" s="275">
        <v>0</v>
      </c>
      <c r="T121" s="239"/>
      <c r="U121" t="s">
        <v>357</v>
      </c>
      <c r="W121" s="291"/>
      <c r="Y121" s="286"/>
      <c r="Z121" s="287"/>
    </row>
    <row r="122" spans="1:26" ht="15.75">
      <c r="A122" s="300" t="s">
        <v>358</v>
      </c>
      <c r="B122" s="301"/>
      <c r="C122" s="555">
        <v>0</v>
      </c>
      <c r="E122" s="557">
        <v>0</v>
      </c>
      <c r="F122" s="141"/>
      <c r="G122" s="150"/>
      <c r="H122" s="239"/>
      <c r="I122" s="150"/>
      <c r="J122" s="240"/>
      <c r="K122" s="275">
        <v>0</v>
      </c>
      <c r="L122" s="239"/>
      <c r="M122" s="584">
        <f t="shared" ref="M122:M129" si="20">K122</f>
        <v>0</v>
      </c>
      <c r="N122" s="239"/>
      <c r="O122" s="585">
        <f>M122</f>
        <v>0</v>
      </c>
      <c r="P122" s="239"/>
      <c r="Q122" s="586">
        <f>O122</f>
        <v>0</v>
      </c>
      <c r="R122" s="239"/>
      <c r="S122" s="587">
        <f>Q122</f>
        <v>0</v>
      </c>
      <c r="T122" s="239"/>
      <c r="U122" t="s">
        <v>359</v>
      </c>
      <c r="W122" s="291"/>
      <c r="Y122" s="295"/>
      <c r="Z122" s="296"/>
    </row>
    <row r="123" spans="1:26" ht="15.75">
      <c r="A123" s="302" t="s">
        <v>360</v>
      </c>
      <c r="B123" s="301"/>
      <c r="C123" s="555">
        <v>0</v>
      </c>
      <c r="E123" s="557">
        <v>0</v>
      </c>
      <c r="F123" s="141"/>
      <c r="G123" s="150"/>
      <c r="H123" s="239"/>
      <c r="I123" s="150"/>
      <c r="J123" s="240"/>
      <c r="K123" s="275">
        <v>0</v>
      </c>
      <c r="L123" s="239"/>
      <c r="M123" s="584">
        <v>0</v>
      </c>
      <c r="N123" s="239"/>
      <c r="O123" s="585">
        <f t="shared" ref="O123:O126" si="21">M123</f>
        <v>0</v>
      </c>
      <c r="P123" s="239"/>
      <c r="Q123" s="586">
        <f t="shared" ref="Q123:Q126" si="22">O123</f>
        <v>0</v>
      </c>
      <c r="R123" s="239"/>
      <c r="S123" s="587">
        <f t="shared" ref="S123:S126" si="23">Q123</f>
        <v>0</v>
      </c>
      <c r="T123" s="239"/>
      <c r="U123" t="s">
        <v>361</v>
      </c>
      <c r="W123" s="291"/>
      <c r="Y123" s="295"/>
      <c r="Z123" s="296"/>
    </row>
    <row r="124" spans="1:26" ht="15.75" hidden="1">
      <c r="A124" s="300" t="s">
        <v>362</v>
      </c>
      <c r="B124" s="301"/>
      <c r="C124" s="555">
        <v>0</v>
      </c>
      <c r="E124" s="557">
        <v>0</v>
      </c>
      <c r="F124" s="141"/>
      <c r="G124" s="150"/>
      <c r="H124" s="239"/>
      <c r="I124" s="150"/>
      <c r="J124" s="240"/>
      <c r="K124" s="275">
        <v>0</v>
      </c>
      <c r="L124" s="239"/>
      <c r="M124" s="584">
        <f t="shared" si="20"/>
        <v>0</v>
      </c>
      <c r="N124" s="239"/>
      <c r="O124" s="585">
        <f t="shared" si="21"/>
        <v>0</v>
      </c>
      <c r="P124" s="239"/>
      <c r="Q124" s="586">
        <f t="shared" si="22"/>
        <v>0</v>
      </c>
      <c r="R124" s="239"/>
      <c r="S124" s="587">
        <f t="shared" si="23"/>
        <v>0</v>
      </c>
      <c r="T124" s="239"/>
      <c r="U124" t="s">
        <v>361</v>
      </c>
      <c r="W124" s="291"/>
      <c r="Y124" s="295"/>
      <c r="Z124" s="296"/>
    </row>
    <row r="125" spans="1:26" ht="15.75">
      <c r="A125" s="300" t="s">
        <v>363</v>
      </c>
      <c r="B125" s="301"/>
      <c r="C125" s="555">
        <v>0</v>
      </c>
      <c r="E125" s="557">
        <v>0</v>
      </c>
      <c r="F125" s="141"/>
      <c r="G125" s="150"/>
      <c r="H125" s="239"/>
      <c r="I125" s="150"/>
      <c r="J125" s="240"/>
      <c r="K125" s="275">
        <v>0</v>
      </c>
      <c r="L125" s="239"/>
      <c r="M125" s="584">
        <v>0</v>
      </c>
      <c r="N125" s="239"/>
      <c r="O125" s="585">
        <f t="shared" si="21"/>
        <v>0</v>
      </c>
      <c r="P125" s="239"/>
      <c r="Q125" s="586">
        <f t="shared" si="22"/>
        <v>0</v>
      </c>
      <c r="R125" s="239"/>
      <c r="S125" s="587">
        <f t="shared" si="23"/>
        <v>0</v>
      </c>
      <c r="T125" s="239"/>
      <c r="U125" t="s">
        <v>361</v>
      </c>
      <c r="W125" s="291"/>
      <c r="Y125" s="295"/>
      <c r="Z125" s="296"/>
    </row>
    <row r="126" spans="1:26" ht="15.75" hidden="1">
      <c r="A126" s="300" t="s">
        <v>364</v>
      </c>
      <c r="B126" s="301"/>
      <c r="C126" s="555">
        <v>0</v>
      </c>
      <c r="E126" s="557">
        <v>0</v>
      </c>
      <c r="F126" s="141"/>
      <c r="G126" s="150"/>
      <c r="H126" s="239"/>
      <c r="I126" s="150"/>
      <c r="J126" s="240"/>
      <c r="K126" s="275">
        <v>0</v>
      </c>
      <c r="L126" s="239"/>
      <c r="M126" s="584">
        <f t="shared" si="20"/>
        <v>0</v>
      </c>
      <c r="N126" s="239"/>
      <c r="O126" s="588">
        <f t="shared" si="21"/>
        <v>0</v>
      </c>
      <c r="P126" s="239"/>
      <c r="Q126" s="580">
        <f t="shared" si="22"/>
        <v>0</v>
      </c>
      <c r="R126" s="239"/>
      <c r="S126" s="581">
        <f t="shared" si="23"/>
        <v>0</v>
      </c>
      <c r="T126" s="239"/>
      <c r="U126" t="s">
        <v>361</v>
      </c>
      <c r="W126" s="291"/>
      <c r="Y126" s="295"/>
      <c r="Z126" s="296"/>
    </row>
    <row r="127" spans="1:26" ht="15.75">
      <c r="A127" s="300" t="s">
        <v>365</v>
      </c>
      <c r="B127" s="301"/>
      <c r="C127" s="555">
        <v>0</v>
      </c>
      <c r="E127" s="557">
        <v>0</v>
      </c>
      <c r="F127" s="141"/>
      <c r="G127" s="150"/>
      <c r="H127" s="239"/>
      <c r="I127" s="150"/>
      <c r="J127" s="240"/>
      <c r="K127" s="275">
        <v>0</v>
      </c>
      <c r="L127" s="239"/>
      <c r="M127" s="536">
        <v>0</v>
      </c>
      <c r="N127" s="239"/>
      <c r="O127" s="589">
        <v>0</v>
      </c>
      <c r="P127" s="239"/>
      <c r="Q127" s="534">
        <v>0</v>
      </c>
      <c r="R127" s="239"/>
      <c r="S127" s="535">
        <v>0</v>
      </c>
      <c r="T127" s="239"/>
      <c r="U127" t="s">
        <v>366</v>
      </c>
      <c r="W127" s="291"/>
      <c r="Y127" s="295"/>
      <c r="Z127" s="296"/>
    </row>
    <row r="128" spans="1:26" ht="15.75">
      <c r="A128" s="171" t="s">
        <v>367</v>
      </c>
      <c r="B128" s="171"/>
      <c r="C128" s="303"/>
      <c r="D128" s="304"/>
      <c r="E128" s="158"/>
      <c r="G128" s="150"/>
      <c r="H128" s="305"/>
      <c r="I128" s="150"/>
      <c r="J128" s="306"/>
      <c r="K128" s="275">
        <v>0</v>
      </c>
      <c r="L128" s="305"/>
      <c r="M128" s="536">
        <v>0</v>
      </c>
      <c r="N128" s="305"/>
      <c r="O128" s="158"/>
      <c r="P128" s="305"/>
      <c r="Q128" s="158"/>
      <c r="R128" s="305"/>
      <c r="S128" s="158"/>
      <c r="T128" s="305"/>
      <c r="U128" t="s">
        <v>368</v>
      </c>
      <c r="W128" s="291"/>
      <c r="Y128" s="307"/>
      <c r="Z128" s="308"/>
    </row>
    <row r="129" spans="1:26" ht="15.75" hidden="1">
      <c r="A129" s="302" t="s">
        <v>369</v>
      </c>
      <c r="B129" s="301"/>
      <c r="C129" s="303"/>
      <c r="D129" s="304"/>
      <c r="E129" s="557">
        <v>0</v>
      </c>
      <c r="F129" s="309"/>
      <c r="G129" s="150"/>
      <c r="H129" s="305"/>
      <c r="I129" s="150"/>
      <c r="J129" s="306"/>
      <c r="K129" s="275">
        <v>0</v>
      </c>
      <c r="L129" s="305"/>
      <c r="M129" s="578">
        <f t="shared" si="20"/>
        <v>0</v>
      </c>
      <c r="N129" s="305"/>
      <c r="O129" s="310"/>
      <c r="P129" s="305"/>
      <c r="Q129" s="311"/>
      <c r="R129" s="305"/>
      <c r="S129" s="312"/>
      <c r="T129" s="305"/>
      <c r="U129" t="s">
        <v>370</v>
      </c>
      <c r="W129" s="291"/>
      <c r="Y129" s="295"/>
      <c r="Z129" s="296"/>
    </row>
    <row r="130" spans="1:26" ht="15.75" hidden="1">
      <c r="A130" s="313" t="s">
        <v>371</v>
      </c>
      <c r="B130" s="313"/>
      <c r="C130" s="243">
        <f>IF(ISNA([1]DE1!C83),0,[1]DE1!C83)</f>
        <v>25905.180237020071</v>
      </c>
      <c r="E130" s="557">
        <v>0</v>
      </c>
      <c r="F130" s="314"/>
      <c r="G130" s="150"/>
      <c r="H130" s="305"/>
      <c r="I130" s="150"/>
      <c r="J130" s="306"/>
      <c r="K130" s="275">
        <v>0</v>
      </c>
      <c r="L130" s="305"/>
      <c r="M130" s="584">
        <v>0</v>
      </c>
      <c r="N130" s="305"/>
      <c r="O130" s="589">
        <v>0</v>
      </c>
      <c r="P130" s="305"/>
      <c r="Q130" s="534">
        <v>0</v>
      </c>
      <c r="R130" s="305"/>
      <c r="S130" s="535">
        <v>0</v>
      </c>
      <c r="T130" s="305"/>
      <c r="U130" t="s">
        <v>372</v>
      </c>
      <c r="W130" s="291"/>
      <c r="Y130" s="295"/>
      <c r="Z130" s="296"/>
    </row>
    <row r="131" spans="1:26" ht="15.75">
      <c r="A131" s="315" t="s">
        <v>373</v>
      </c>
      <c r="B131" s="313"/>
      <c r="C131" s="555">
        <v>0</v>
      </c>
      <c r="E131" s="557">
        <v>0</v>
      </c>
      <c r="G131" s="150"/>
      <c r="H131" s="239"/>
      <c r="I131" s="150"/>
      <c r="J131" s="240"/>
      <c r="K131" s="275">
        <v>0</v>
      </c>
      <c r="L131" s="239"/>
      <c r="M131" s="536">
        <v>0</v>
      </c>
      <c r="N131" s="239"/>
      <c r="O131" s="589">
        <v>0</v>
      </c>
      <c r="P131" s="239"/>
      <c r="Q131" s="534">
        <v>0</v>
      </c>
      <c r="R131" s="239"/>
      <c r="S131" s="535">
        <v>0</v>
      </c>
      <c r="T131" s="239"/>
      <c r="U131" t="s">
        <v>374</v>
      </c>
      <c r="W131" s="291"/>
      <c r="Y131" s="295"/>
      <c r="Z131" s="296"/>
    </row>
    <row r="132" spans="1:26" ht="15.75">
      <c r="A132" s="315" t="s">
        <v>375</v>
      </c>
      <c r="B132" s="313"/>
      <c r="C132" s="280">
        <v>0</v>
      </c>
      <c r="E132" s="557">
        <v>0</v>
      </c>
      <c r="G132" s="150"/>
      <c r="H132" s="239"/>
      <c r="I132" s="150"/>
      <c r="J132" s="240"/>
      <c r="K132" s="275">
        <v>0</v>
      </c>
      <c r="L132" s="239"/>
      <c r="M132" s="281">
        <v>0</v>
      </c>
      <c r="N132" s="239"/>
      <c r="O132" s="316">
        <v>0</v>
      </c>
      <c r="P132" s="239"/>
      <c r="Q132" s="283">
        <v>0</v>
      </c>
      <c r="R132" s="239"/>
      <c r="S132" s="284">
        <v>0</v>
      </c>
      <c r="T132" s="239"/>
      <c r="U132" t="s">
        <v>374</v>
      </c>
      <c r="W132" s="291"/>
      <c r="Y132" s="295"/>
      <c r="Z132" s="296"/>
    </row>
    <row r="133" spans="1:26" ht="18">
      <c r="A133" s="317" t="s">
        <v>376</v>
      </c>
      <c r="B133" s="164"/>
      <c r="C133" s="223" t="s">
        <v>168</v>
      </c>
      <c r="D133" s="223"/>
      <c r="E133" s="224" t="s">
        <v>169</v>
      </c>
      <c r="F133" s="141"/>
      <c r="G133" s="224" t="s">
        <v>170</v>
      </c>
      <c r="H133" s="224"/>
      <c r="I133" s="224" t="s">
        <v>171</v>
      </c>
      <c r="J133" s="141"/>
      <c r="K133" s="224" t="s">
        <v>170</v>
      </c>
      <c r="L133" s="224"/>
      <c r="M133" s="224" t="s">
        <v>171</v>
      </c>
      <c r="N133" s="224"/>
      <c r="O133" s="224" t="str">
        <f>O91</f>
        <v>2021-22</v>
      </c>
      <c r="P133" s="224"/>
      <c r="Q133" s="224" t="str">
        <f>Q91</f>
        <v>2022-23</v>
      </c>
      <c r="R133" s="224"/>
      <c r="S133" s="224" t="str">
        <f>S91</f>
        <v>2023-24</v>
      </c>
      <c r="T133" s="225"/>
      <c r="U133" s="318" t="s">
        <v>377</v>
      </c>
      <c r="Y133" s="286"/>
      <c r="Z133" s="287"/>
    </row>
    <row r="134" spans="1:26" ht="15.75" hidden="1">
      <c r="A134" s="171" t="s">
        <v>378</v>
      </c>
      <c r="B134" s="171"/>
      <c r="C134" s="590" t="s">
        <v>180</v>
      </c>
      <c r="E134" s="591" t="s">
        <v>180</v>
      </c>
      <c r="F134" s="115"/>
      <c r="G134" s="592" t="s">
        <v>180</v>
      </c>
      <c r="H134" s="319"/>
      <c r="I134" s="115"/>
      <c r="J134" s="320"/>
      <c r="K134" s="115"/>
      <c r="L134" s="319"/>
      <c r="M134" s="593" t="s">
        <v>180</v>
      </c>
      <c r="N134" s="319"/>
      <c r="O134" s="593" t="s">
        <v>180</v>
      </c>
      <c r="P134" s="319"/>
      <c r="Q134" s="593" t="s">
        <v>180</v>
      </c>
      <c r="R134" s="319"/>
      <c r="S134" s="566" t="s">
        <v>180</v>
      </c>
      <c r="T134" s="319"/>
      <c r="U134" s="293" t="s">
        <v>379</v>
      </c>
      <c r="W134" s="291"/>
      <c r="Y134" s="307"/>
      <c r="Z134" s="308"/>
    </row>
    <row r="135" spans="1:26" ht="15.75" hidden="1">
      <c r="A135" s="171" t="s">
        <v>380</v>
      </c>
      <c r="B135" s="171"/>
      <c r="C135" s="590" t="s">
        <v>180</v>
      </c>
      <c r="E135" s="591" t="s">
        <v>180</v>
      </c>
      <c r="F135" s="115"/>
      <c r="G135" s="592" t="s">
        <v>180</v>
      </c>
      <c r="H135" s="319"/>
      <c r="I135" s="115"/>
      <c r="J135" s="320"/>
      <c r="K135" s="115"/>
      <c r="L135" s="319"/>
      <c r="M135" s="593" t="s">
        <v>180</v>
      </c>
      <c r="N135" s="319"/>
      <c r="O135" s="593" t="s">
        <v>180</v>
      </c>
      <c r="P135" s="319"/>
      <c r="Q135" s="593" t="s">
        <v>180</v>
      </c>
      <c r="R135" s="319"/>
      <c r="S135" s="566" t="s">
        <v>180</v>
      </c>
      <c r="T135" s="319"/>
      <c r="U135" t="s">
        <v>381</v>
      </c>
      <c r="W135" s="291"/>
      <c r="Y135" s="307"/>
      <c r="Z135" s="308"/>
    </row>
    <row r="136" spans="1:26" ht="15.75">
      <c r="A136" s="313" t="s">
        <v>382</v>
      </c>
      <c r="B136" s="313"/>
      <c r="C136" s="555">
        <v>0</v>
      </c>
      <c r="E136" s="557">
        <v>0</v>
      </c>
      <c r="G136" s="150"/>
      <c r="H136" s="239"/>
      <c r="I136" s="150"/>
      <c r="J136" s="240"/>
      <c r="K136" s="158"/>
      <c r="L136" s="239"/>
      <c r="M136" s="158"/>
      <c r="N136" s="239"/>
      <c r="O136" s="158"/>
      <c r="P136" s="239"/>
      <c r="Q136" s="158"/>
      <c r="R136" s="239"/>
      <c r="S136" s="158"/>
      <c r="T136" s="239"/>
      <c r="U136" s="115" t="s">
        <v>383</v>
      </c>
      <c r="W136" s="291"/>
      <c r="Y136" s="286"/>
      <c r="Z136" s="287"/>
    </row>
    <row r="137" spans="1:26" ht="15.75">
      <c r="A137" s="313" t="s">
        <v>384</v>
      </c>
      <c r="B137" s="313"/>
      <c r="C137" s="555">
        <v>0</v>
      </c>
      <c r="E137" s="557">
        <v>0</v>
      </c>
      <c r="G137" s="150"/>
      <c r="H137" s="239"/>
      <c r="I137" s="150"/>
      <c r="J137" s="240"/>
      <c r="K137" s="158"/>
      <c r="L137" s="239"/>
      <c r="M137" s="158"/>
      <c r="N137" s="239"/>
      <c r="O137" s="158"/>
      <c r="P137" s="239"/>
      <c r="Q137" s="158"/>
      <c r="R137" s="239"/>
      <c r="S137" s="158"/>
      <c r="T137" s="239"/>
      <c r="U137" s="321" t="s">
        <v>385</v>
      </c>
      <c r="W137" s="291"/>
      <c r="Y137" s="286"/>
      <c r="Z137" s="287"/>
    </row>
    <row r="138" spans="1:26" ht="15.75">
      <c r="A138" s="313" t="s">
        <v>386</v>
      </c>
      <c r="B138" s="313"/>
      <c r="C138" s="555">
        <v>0</v>
      </c>
      <c r="E138" s="557">
        <v>0</v>
      </c>
      <c r="G138" s="150"/>
      <c r="H138" s="239"/>
      <c r="I138" s="150"/>
      <c r="J138" s="240"/>
      <c r="K138" s="275">
        <v>0</v>
      </c>
      <c r="L138" s="239"/>
      <c r="M138" s="584">
        <v>0</v>
      </c>
      <c r="N138" s="239"/>
      <c r="O138" s="579">
        <f>M138</f>
        <v>0</v>
      </c>
      <c r="P138" s="239"/>
      <c r="Q138" s="580">
        <f>O138</f>
        <v>0</v>
      </c>
      <c r="R138" s="239"/>
      <c r="S138" s="581">
        <f>Q138</f>
        <v>0</v>
      </c>
      <c r="T138" s="239"/>
      <c r="U138" s="321" t="s">
        <v>387</v>
      </c>
      <c r="W138" s="291"/>
      <c r="Y138" s="286"/>
      <c r="Z138" s="287"/>
    </row>
    <row r="139" spans="1:26" ht="15.75">
      <c r="A139" s="313" t="s">
        <v>388</v>
      </c>
      <c r="B139" s="313"/>
      <c r="C139" s="555">
        <v>0</v>
      </c>
      <c r="E139" s="557">
        <v>0</v>
      </c>
      <c r="G139" s="150"/>
      <c r="H139" s="239"/>
      <c r="I139" s="150"/>
      <c r="J139" s="240"/>
      <c r="K139" s="275">
        <v>0</v>
      </c>
      <c r="L139" s="239"/>
      <c r="M139" s="584">
        <v>0</v>
      </c>
      <c r="N139" s="239"/>
      <c r="O139" s="579">
        <f t="shared" ref="O139" si="24">M139</f>
        <v>0</v>
      </c>
      <c r="P139" s="239"/>
      <c r="Q139" s="580">
        <f t="shared" ref="Q139" si="25">O139</f>
        <v>0</v>
      </c>
      <c r="R139" s="239"/>
      <c r="S139" s="581">
        <f t="shared" ref="S139" si="26">Q139</f>
        <v>0</v>
      </c>
      <c r="T139" s="239"/>
      <c r="U139" s="321" t="s">
        <v>389</v>
      </c>
      <c r="W139" s="291"/>
      <c r="Y139" s="286"/>
      <c r="Z139" s="287"/>
    </row>
    <row r="140" spans="1:26" ht="15.75">
      <c r="A140" s="100" t="s">
        <v>390</v>
      </c>
      <c r="B140" s="100"/>
      <c r="C140" s="322"/>
      <c r="E140" s="323"/>
      <c r="G140" s="150"/>
      <c r="H140" s="239"/>
      <c r="I140" s="150"/>
      <c r="J140" s="240"/>
      <c r="K140" s="249"/>
      <c r="L140" s="239"/>
      <c r="M140" s="249"/>
      <c r="N140" s="239"/>
      <c r="O140" s="249"/>
      <c r="P140" s="239"/>
      <c r="Q140" s="249"/>
      <c r="R140" s="239"/>
      <c r="S140" s="249"/>
      <c r="T140" s="239"/>
      <c r="W140" s="291"/>
      <c r="Y140" s="286"/>
      <c r="Z140" s="287"/>
    </row>
    <row r="141" spans="1:26" ht="15.75">
      <c r="A141" s="594" t="s">
        <v>391</v>
      </c>
      <c r="B141" s="595"/>
      <c r="C141" s="555">
        <v>0</v>
      </c>
      <c r="E141" s="557">
        <v>0</v>
      </c>
      <c r="G141" s="150"/>
      <c r="H141" s="239"/>
      <c r="I141" s="150"/>
      <c r="J141" s="240"/>
      <c r="K141" s="568"/>
      <c r="L141" s="239"/>
      <c r="M141" s="568"/>
      <c r="N141" s="239"/>
      <c r="O141" s="568"/>
      <c r="P141" s="239"/>
      <c r="Q141" s="568"/>
      <c r="R141" s="239"/>
      <c r="S141" s="568"/>
      <c r="T141" s="239"/>
      <c r="U141" s="321" t="s">
        <v>392</v>
      </c>
      <c r="W141" s="291"/>
      <c r="Y141" s="286"/>
      <c r="Z141" s="287"/>
    </row>
    <row r="142" spans="1:26" ht="15.75">
      <c r="A142" s="245" t="s">
        <v>393</v>
      </c>
      <c r="B142" s="301"/>
      <c r="C142" s="555">
        <v>0</v>
      </c>
      <c r="E142" s="557">
        <v>0</v>
      </c>
      <c r="G142" s="150"/>
      <c r="H142" s="239"/>
      <c r="I142" s="150"/>
      <c r="J142" s="240"/>
      <c r="K142" s="158"/>
      <c r="L142" s="239"/>
      <c r="M142" s="158"/>
      <c r="N142" s="239"/>
      <c r="O142" s="158"/>
      <c r="P142" s="239"/>
      <c r="Q142" s="158"/>
      <c r="R142" s="239"/>
      <c r="S142" s="158"/>
      <c r="T142" s="239"/>
      <c r="U142" s="321" t="s">
        <v>394</v>
      </c>
    </row>
    <row r="143" spans="1:26" ht="15.75">
      <c r="A143" s="245" t="s">
        <v>395</v>
      </c>
      <c r="B143" s="301"/>
      <c r="C143" s="555"/>
      <c r="E143" s="557">
        <v>0</v>
      </c>
      <c r="G143" s="150"/>
      <c r="H143" s="239"/>
      <c r="I143" s="150"/>
      <c r="J143" s="240"/>
      <c r="K143" s="275">
        <v>0</v>
      </c>
      <c r="L143" s="239"/>
      <c r="M143" s="584">
        <v>0</v>
      </c>
      <c r="N143" s="239"/>
      <c r="O143" s="579">
        <f t="shared" ref="O143:O144" si="27">M143</f>
        <v>0</v>
      </c>
      <c r="P143" s="239"/>
      <c r="Q143" s="580">
        <f t="shared" ref="Q143:Q144" si="28">O143</f>
        <v>0</v>
      </c>
      <c r="R143" s="239"/>
      <c r="S143" s="581">
        <f t="shared" ref="S143:S144" si="29">Q143</f>
        <v>0</v>
      </c>
      <c r="T143" s="239"/>
      <c r="U143" s="324" t="s">
        <v>396</v>
      </c>
    </row>
    <row r="144" spans="1:26" ht="15.75">
      <c r="A144" s="300" t="s">
        <v>397</v>
      </c>
      <c r="B144" s="301"/>
      <c r="C144" s="555">
        <v>0</v>
      </c>
      <c r="E144" s="158"/>
      <c r="F144" s="141"/>
      <c r="G144" s="150"/>
      <c r="H144" s="319"/>
      <c r="I144" s="150"/>
      <c r="J144" s="320"/>
      <c r="K144" s="275">
        <v>0</v>
      </c>
      <c r="L144" s="319"/>
      <c r="M144" s="584">
        <v>0</v>
      </c>
      <c r="N144" s="319"/>
      <c r="O144" s="579">
        <f t="shared" si="27"/>
        <v>0</v>
      </c>
      <c r="P144" s="319"/>
      <c r="Q144" s="580">
        <f t="shared" si="28"/>
        <v>0</v>
      </c>
      <c r="R144" s="319"/>
      <c r="S144" s="581">
        <f t="shared" si="29"/>
        <v>0</v>
      </c>
      <c r="T144" s="319"/>
      <c r="U144" s="128" t="s">
        <v>398</v>
      </c>
      <c r="W144" s="291"/>
      <c r="Y144" s="295"/>
      <c r="Z144" s="296"/>
    </row>
    <row r="145" spans="1:26" ht="15.75">
      <c r="A145" s="245" t="s">
        <v>399</v>
      </c>
      <c r="B145" s="301"/>
      <c r="C145" s="590">
        <v>0</v>
      </c>
      <c r="E145" s="596" t="s">
        <v>400</v>
      </c>
      <c r="F145" s="115"/>
      <c r="G145" s="325" t="str">
        <f>E145</f>
        <v>Y</v>
      </c>
      <c r="H145" s="319"/>
      <c r="I145" s="325" t="str">
        <f>G145</f>
        <v>Y</v>
      </c>
      <c r="J145" s="320"/>
      <c r="K145" s="290" t="s">
        <v>400</v>
      </c>
      <c r="L145" s="319"/>
      <c r="M145" s="597" t="s">
        <v>400</v>
      </c>
      <c r="N145" s="319"/>
      <c r="O145" s="564" t="str">
        <f>M145</f>
        <v>Y</v>
      </c>
      <c r="P145" s="319"/>
      <c r="Q145" s="565" t="str">
        <f>O145</f>
        <v>Y</v>
      </c>
      <c r="R145" s="319"/>
      <c r="S145" s="566" t="str">
        <f>Q145</f>
        <v>Y</v>
      </c>
      <c r="T145" s="319"/>
      <c r="U145" s="321" t="s">
        <v>401</v>
      </c>
    </row>
    <row r="146" spans="1:26" ht="15.75">
      <c r="A146" s="245" t="s">
        <v>402</v>
      </c>
      <c r="B146" s="598"/>
      <c r="C146" s="590">
        <v>0</v>
      </c>
      <c r="D146" s="599"/>
      <c r="E146" s="596" t="s">
        <v>400</v>
      </c>
      <c r="F146" s="141"/>
      <c r="G146" s="325" t="str">
        <f>E146</f>
        <v>Y</v>
      </c>
      <c r="H146" s="319"/>
      <c r="I146" s="325" t="str">
        <f>G146</f>
        <v>Y</v>
      </c>
      <c r="J146" s="320"/>
      <c r="K146" s="290" t="s">
        <v>400</v>
      </c>
      <c r="L146" s="319"/>
      <c r="M146" s="597" t="s">
        <v>400</v>
      </c>
      <c r="N146" s="319"/>
      <c r="O146" s="564" t="str">
        <f>M146</f>
        <v>Y</v>
      </c>
      <c r="P146" s="319"/>
      <c r="Q146" s="565" t="str">
        <f>O146</f>
        <v>Y</v>
      </c>
      <c r="R146" s="319"/>
      <c r="S146" s="566" t="str">
        <f>Q146</f>
        <v>Y</v>
      </c>
      <c r="T146" s="319"/>
      <c r="U146" s="321" t="s">
        <v>403</v>
      </c>
    </row>
    <row r="147" spans="1:26" ht="18">
      <c r="A147" s="317" t="s">
        <v>404</v>
      </c>
      <c r="B147" s="231"/>
      <c r="C147" s="165"/>
      <c r="D147" s="326"/>
      <c r="E147" s="166"/>
      <c r="F147" s="141"/>
      <c r="G147" s="166"/>
      <c r="H147" s="224"/>
      <c r="I147" s="224" t="s">
        <v>171</v>
      </c>
      <c r="J147" s="141"/>
      <c r="K147" s="166"/>
      <c r="L147" s="327"/>
      <c r="M147" s="224" t="str">
        <f>I133</f>
        <v>2020-21</v>
      </c>
      <c r="N147" s="327"/>
      <c r="O147" s="328"/>
      <c r="P147" s="327"/>
      <c r="Q147" s="328"/>
      <c r="R147" s="327"/>
      <c r="S147" s="329"/>
      <c r="T147" s="327"/>
      <c r="U147" s="321"/>
    </row>
    <row r="148" spans="1:26" ht="15.75" hidden="1">
      <c r="A148" s="313" t="s">
        <v>405</v>
      </c>
      <c r="B148" s="301"/>
      <c r="C148" s="330"/>
      <c r="D148" s="113"/>
      <c r="E148" s="166"/>
      <c r="F148" s="331"/>
      <c r="H148" s="327"/>
      <c r="J148" s="332"/>
      <c r="K148" s="328"/>
      <c r="L148" s="327"/>
      <c r="M148" s="291"/>
      <c r="N148" s="327"/>
      <c r="O148" s="328"/>
      <c r="P148" s="327"/>
      <c r="Q148" s="328"/>
      <c r="R148" s="327"/>
      <c r="S148" s="329"/>
      <c r="T148" s="327"/>
      <c r="U148" s="321" t="s">
        <v>406</v>
      </c>
    </row>
    <row r="149" spans="1:26" ht="15.75" hidden="1">
      <c r="A149" s="313" t="s">
        <v>407</v>
      </c>
      <c r="B149" s="301"/>
      <c r="C149" s="330"/>
      <c r="D149" s="113"/>
      <c r="E149" s="166"/>
      <c r="F149" s="331"/>
      <c r="H149" s="327"/>
      <c r="J149" s="332"/>
      <c r="K149" s="328"/>
      <c r="L149" s="327"/>
      <c r="M149" s="291"/>
      <c r="N149" s="327"/>
      <c r="O149" s="328"/>
      <c r="P149" s="327"/>
      <c r="Q149" s="328"/>
      <c r="R149" s="327"/>
      <c r="S149" s="329"/>
      <c r="T149" s="327"/>
      <c r="U149" s="321" t="s">
        <v>408</v>
      </c>
    </row>
    <row r="150" spans="1:26" ht="15.75">
      <c r="A150" s="313" t="s">
        <v>409</v>
      </c>
      <c r="B150" s="301"/>
      <c r="C150" s="165"/>
      <c r="E150" s="158"/>
      <c r="F150" s="141"/>
      <c r="G150" s="150"/>
      <c r="H150" s="327"/>
      <c r="I150" s="150"/>
      <c r="J150" s="332"/>
      <c r="K150" s="158"/>
      <c r="L150" s="327"/>
      <c r="M150" s="600">
        <v>1</v>
      </c>
      <c r="N150" s="327"/>
      <c r="O150" s="328"/>
      <c r="P150" s="327"/>
      <c r="Q150" s="328"/>
      <c r="R150" s="327"/>
      <c r="S150" s="329"/>
      <c r="T150" s="327"/>
      <c r="U150" s="321" t="s">
        <v>410</v>
      </c>
    </row>
    <row r="151" spans="1:26" ht="15.75">
      <c r="A151" s="313" t="s">
        <v>411</v>
      </c>
      <c r="B151" s="301"/>
      <c r="C151" s="165"/>
      <c r="E151" s="158"/>
      <c r="F151" s="141"/>
      <c r="G151" s="150"/>
      <c r="H151" s="327"/>
      <c r="I151" s="150"/>
      <c r="J151" s="332"/>
      <c r="K151" s="158"/>
      <c r="L151" s="327"/>
      <c r="M151" s="601">
        <f>M73</f>
        <v>180410764</v>
      </c>
      <c r="N151" s="327"/>
      <c r="O151" s="328"/>
      <c r="P151" s="327"/>
      <c r="Q151" s="328"/>
      <c r="R151" s="327"/>
      <c r="S151" s="329"/>
      <c r="T151" s="327"/>
      <c r="U151" s="115" t="s">
        <v>412</v>
      </c>
      <c r="V151" s="333"/>
    </row>
    <row r="152" spans="1:26" ht="15.75">
      <c r="A152" s="313" t="s">
        <v>413</v>
      </c>
      <c r="B152" s="334"/>
      <c r="C152" s="165"/>
      <c r="E152" s="158"/>
      <c r="F152" s="141"/>
      <c r="G152" s="150"/>
      <c r="H152" s="327"/>
      <c r="I152" s="150"/>
      <c r="J152" s="332"/>
      <c r="K152" s="158"/>
      <c r="L152" s="327"/>
      <c r="M152" s="601">
        <v>0</v>
      </c>
      <c r="N152" s="327"/>
      <c r="O152" s="328"/>
      <c r="P152" s="327"/>
      <c r="Q152" s="328"/>
      <c r="R152" s="327"/>
      <c r="S152" s="329"/>
      <c r="T152" s="327"/>
      <c r="U152" s="115" t="s">
        <v>414</v>
      </c>
      <c r="V152" s="333"/>
    </row>
    <row r="153" spans="1:26" ht="15.75">
      <c r="A153" s="313" t="s">
        <v>415</v>
      </c>
      <c r="B153" s="301"/>
      <c r="C153" s="165"/>
      <c r="E153" s="158"/>
      <c r="F153" s="141"/>
      <c r="G153" s="150"/>
      <c r="H153" s="327"/>
      <c r="I153" s="150"/>
      <c r="J153" s="332"/>
      <c r="K153" s="158"/>
      <c r="L153" s="327"/>
      <c r="M153" s="601">
        <v>0</v>
      </c>
      <c r="N153" s="327"/>
      <c r="O153" s="328"/>
      <c r="P153" s="327"/>
      <c r="Q153" s="328"/>
      <c r="R153" s="327"/>
      <c r="S153" s="329"/>
      <c r="T153" s="327"/>
      <c r="U153" s="321" t="s">
        <v>416</v>
      </c>
    </row>
    <row r="154" spans="1:26" ht="15.75" hidden="1">
      <c r="A154" s="313" t="s">
        <v>417</v>
      </c>
      <c r="B154" s="301"/>
      <c r="C154" s="335"/>
      <c r="E154" s="150"/>
      <c r="F154" s="602"/>
      <c r="G154" s="336">
        <v>0</v>
      </c>
      <c r="H154" s="327"/>
      <c r="J154" s="332"/>
      <c r="L154" s="327"/>
      <c r="M154" s="328"/>
      <c r="N154" s="327"/>
      <c r="O154" s="328"/>
      <c r="P154" s="327"/>
      <c r="Q154" s="328"/>
      <c r="R154" s="327"/>
      <c r="S154" s="329"/>
      <c r="T154" s="327"/>
      <c r="U154" s="321" t="s">
        <v>418</v>
      </c>
    </row>
    <row r="155" spans="1:26" ht="18">
      <c r="A155" s="317" t="s">
        <v>419</v>
      </c>
      <c r="B155" s="525"/>
      <c r="C155" s="223" t="str">
        <f>C133</f>
        <v>2016-17</v>
      </c>
      <c r="D155" s="223"/>
      <c r="E155" s="224" t="str">
        <f>E133</f>
        <v>2018-19</v>
      </c>
      <c r="F155" s="141"/>
      <c r="G155" s="224" t="str">
        <f>G133</f>
        <v>2019-20</v>
      </c>
      <c r="H155" s="224"/>
      <c r="I155" s="224" t="s">
        <v>171</v>
      </c>
      <c r="J155" s="141"/>
      <c r="K155" s="224" t="str">
        <f>K133</f>
        <v>2019-20</v>
      </c>
      <c r="L155" s="224"/>
      <c r="M155" s="224" t="str">
        <f>M133</f>
        <v>2020-21</v>
      </c>
      <c r="N155" s="224"/>
      <c r="O155" s="224" t="str">
        <f>O133</f>
        <v>2021-22</v>
      </c>
      <c r="P155" s="224"/>
      <c r="Q155" s="224" t="str">
        <f>Q133</f>
        <v>2022-23</v>
      </c>
      <c r="R155" s="224"/>
      <c r="S155" s="224" t="s">
        <v>174</v>
      </c>
      <c r="T155" s="225"/>
    </row>
    <row r="156" spans="1:26" s="97" customFormat="1" ht="15.75">
      <c r="A156" s="171" t="s">
        <v>420</v>
      </c>
      <c r="B156" s="337"/>
      <c r="C156" s="603">
        <v>0</v>
      </c>
      <c r="D156" s="148"/>
      <c r="E156" s="604">
        <f>ROUNDDOWN(E163*[1]Weights!J47,4)</f>
        <v>1</v>
      </c>
      <c r="G156" s="605">
        <f>ROUNDDOWN(E163*[1]Weights!K47,4)</f>
        <v>1</v>
      </c>
      <c r="H156" s="338"/>
      <c r="I156" s="605">
        <f>ROUNDDOWN(E163*[1]Weights!O47,4)</f>
        <v>1</v>
      </c>
      <c r="J156" s="339"/>
      <c r="K156" s="340">
        <f>E156</f>
        <v>1</v>
      </c>
      <c r="L156" s="341"/>
      <c r="M156" s="606">
        <f>K156</f>
        <v>1</v>
      </c>
      <c r="N156" s="341"/>
      <c r="O156" s="607">
        <f t="shared" ref="O156:O162" si="30">M156</f>
        <v>1</v>
      </c>
      <c r="P156" s="341"/>
      <c r="Q156" s="608">
        <f t="shared" ref="Q156:Q162" si="31">O156</f>
        <v>1</v>
      </c>
      <c r="R156" s="341"/>
      <c r="S156" s="609">
        <f t="shared" ref="S156:S162" si="32">Q156</f>
        <v>1</v>
      </c>
      <c r="T156" s="338"/>
      <c r="U156" t="s">
        <v>421</v>
      </c>
      <c r="V156" s="117"/>
      <c r="Y156" s="342"/>
      <c r="Z156" s="343"/>
    </row>
    <row r="157" spans="1:26" s="97" customFormat="1" ht="15.75">
      <c r="A157" s="171" t="s">
        <v>422</v>
      </c>
      <c r="B157" s="337"/>
      <c r="C157" s="603"/>
      <c r="D157" s="148"/>
      <c r="E157" s="158"/>
      <c r="G157" s="150"/>
      <c r="H157" s="338"/>
      <c r="I157" s="150"/>
      <c r="J157" s="339"/>
      <c r="K157" s="340">
        <f>IF('[1]Data Entry - SOF'!E92&gt;=1,1*0.93,'[1]Data Entry - SOF'!E92*0.93)</f>
        <v>0.93</v>
      </c>
      <c r="L157" s="341"/>
      <c r="M157" s="606">
        <f>'[1]Calc Data'!G219</f>
        <v>0.91639999999999999</v>
      </c>
      <c r="N157" s="341"/>
      <c r="O157" s="610">
        <f>'[1]Calc Data'!J219</f>
        <v>0.90300000000000002</v>
      </c>
      <c r="P157" s="341"/>
      <c r="Q157" s="611" t="e">
        <f>'[1]Calc Data'!L219</f>
        <v>#DIV/0!</v>
      </c>
      <c r="R157" s="341"/>
      <c r="S157" s="612" t="e">
        <f>'[1]Calc Data'!N219</f>
        <v>#DIV/0!</v>
      </c>
      <c r="T157" s="338"/>
      <c r="U157"/>
      <c r="V157" s="117"/>
      <c r="Y157" s="342"/>
      <c r="Z157" s="343"/>
    </row>
    <row r="158" spans="1:26" ht="15.75">
      <c r="A158" s="171" t="s">
        <v>423</v>
      </c>
      <c r="B158" s="171"/>
      <c r="C158" s="344">
        <v>0</v>
      </c>
      <c r="E158" s="345">
        <f>IF(ISNA([1]DE1!C108),0,[1]DE1!C108)</f>
        <v>12</v>
      </c>
      <c r="G158" s="346">
        <f>E158</f>
        <v>12</v>
      </c>
      <c r="H158" s="347"/>
      <c r="I158" s="346">
        <f>G158</f>
        <v>12</v>
      </c>
      <c r="J158" s="348"/>
      <c r="K158" s="349">
        <f>E158</f>
        <v>12</v>
      </c>
      <c r="L158" s="347"/>
      <c r="M158" s="350">
        <f>K158</f>
        <v>12</v>
      </c>
      <c r="N158" s="347"/>
      <c r="O158" s="351">
        <f t="shared" si="30"/>
        <v>12</v>
      </c>
      <c r="P158" s="347"/>
      <c r="Q158" s="352">
        <f t="shared" si="31"/>
        <v>12</v>
      </c>
      <c r="R158" s="347"/>
      <c r="S158" s="353">
        <f t="shared" si="32"/>
        <v>12</v>
      </c>
      <c r="T158" s="347"/>
      <c r="U158" t="s">
        <v>424</v>
      </c>
    </row>
    <row r="159" spans="1:26" ht="15.75">
      <c r="A159" s="171" t="s">
        <v>425</v>
      </c>
      <c r="B159" s="171"/>
      <c r="C159" s="344">
        <v>0</v>
      </c>
      <c r="E159" s="345">
        <f>IF(ISNA([1]DE1!C109),0,[1]DE1!C109)</f>
        <v>256</v>
      </c>
      <c r="G159" s="346">
        <f>E159</f>
        <v>256</v>
      </c>
      <c r="H159" s="347"/>
      <c r="I159" s="346">
        <f>G159</f>
        <v>256</v>
      </c>
      <c r="J159" s="348"/>
      <c r="K159" s="349">
        <f>E159</f>
        <v>256</v>
      </c>
      <c r="L159" s="347"/>
      <c r="M159" s="354">
        <f>K159</f>
        <v>256</v>
      </c>
      <c r="N159" s="347"/>
      <c r="O159" s="351">
        <f t="shared" si="30"/>
        <v>256</v>
      </c>
      <c r="P159" s="347"/>
      <c r="Q159" s="352">
        <f t="shared" si="31"/>
        <v>256</v>
      </c>
      <c r="R159" s="347"/>
      <c r="S159" s="353">
        <f t="shared" si="32"/>
        <v>256</v>
      </c>
      <c r="T159" s="347"/>
      <c r="U159" t="s">
        <v>426</v>
      </c>
    </row>
    <row r="160" spans="1:26" ht="15.75">
      <c r="A160" s="171" t="s">
        <v>427</v>
      </c>
      <c r="B160" s="171"/>
      <c r="C160" s="344">
        <v>0</v>
      </c>
      <c r="E160" s="345">
        <f>IF(ISNA([1]DE1!C110),0,[1]DE1!C110)</f>
        <v>0</v>
      </c>
      <c r="G160" s="346">
        <f>E160</f>
        <v>0</v>
      </c>
      <c r="H160" s="347"/>
      <c r="I160" s="346">
        <f>G160</f>
        <v>0</v>
      </c>
      <c r="J160" s="348"/>
      <c r="K160" s="349">
        <f>E160</f>
        <v>0</v>
      </c>
      <c r="L160" s="347"/>
      <c r="M160" s="350">
        <f>K160</f>
        <v>0</v>
      </c>
      <c r="N160" s="347"/>
      <c r="O160" s="351">
        <f t="shared" si="30"/>
        <v>0</v>
      </c>
      <c r="P160" s="347"/>
      <c r="Q160" s="352">
        <f t="shared" si="31"/>
        <v>0</v>
      </c>
      <c r="R160" s="347"/>
      <c r="S160" s="353">
        <f t="shared" si="32"/>
        <v>0</v>
      </c>
      <c r="T160" s="347"/>
      <c r="U160" t="s">
        <v>428</v>
      </c>
    </row>
    <row r="161" spans="1:22" ht="15.75">
      <c r="A161" s="171" t="s">
        <v>429</v>
      </c>
      <c r="B161" s="171"/>
      <c r="C161" s="355">
        <v>0</v>
      </c>
      <c r="D161" s="599"/>
      <c r="E161" s="356">
        <f>IF(ISNA([1]DE1!C111),0,[1]DE1!C111)</f>
        <v>1.07</v>
      </c>
      <c r="G161" s="357">
        <f>E161</f>
        <v>1.07</v>
      </c>
      <c r="H161" s="358"/>
      <c r="I161" s="357">
        <f>G161</f>
        <v>1.07</v>
      </c>
      <c r="J161" s="359"/>
      <c r="K161" s="360">
        <f>E161</f>
        <v>1.07</v>
      </c>
      <c r="L161" s="358"/>
      <c r="M161" s="361">
        <f>K161</f>
        <v>1.07</v>
      </c>
      <c r="N161" s="358"/>
      <c r="O161" s="362">
        <f t="shared" si="30"/>
        <v>1.07</v>
      </c>
      <c r="P161" s="358"/>
      <c r="Q161" s="363">
        <f t="shared" si="31"/>
        <v>1.07</v>
      </c>
      <c r="R161" s="358"/>
      <c r="S161" s="364">
        <f t="shared" si="32"/>
        <v>1.07</v>
      </c>
      <c r="T161" s="358"/>
      <c r="U161" s="293" t="s">
        <v>430</v>
      </c>
    </row>
    <row r="162" spans="1:22" ht="15.75">
      <c r="A162" s="155" t="s">
        <v>431</v>
      </c>
      <c r="B162" s="273"/>
      <c r="C162" s="355"/>
      <c r="D162" s="365"/>
      <c r="E162" s="158"/>
      <c r="G162" s="150"/>
      <c r="H162" s="358"/>
      <c r="I162" s="150"/>
      <c r="J162" s="359"/>
      <c r="K162" s="613">
        <f>IF(ISNA([1]DE1!J18),0,[1]DE1!J18)</f>
        <v>0</v>
      </c>
      <c r="L162" s="358"/>
      <c r="M162" s="613">
        <f>IF(ISNA([1]DE1!J19),0,[1]DE1!J19)</f>
        <v>0</v>
      </c>
      <c r="N162" s="358"/>
      <c r="O162" s="366">
        <f t="shared" si="30"/>
        <v>0</v>
      </c>
      <c r="P162" s="358"/>
      <c r="Q162" s="367">
        <f t="shared" si="31"/>
        <v>0</v>
      </c>
      <c r="R162" s="358"/>
      <c r="S162" s="368">
        <f t="shared" si="32"/>
        <v>0</v>
      </c>
      <c r="T162" s="358"/>
      <c r="U162" s="293"/>
    </row>
    <row r="163" spans="1:22" s="97" customFormat="1" ht="15.75" hidden="1">
      <c r="A163" s="171" t="s">
        <v>432</v>
      </c>
      <c r="B163" s="230"/>
      <c r="C163" s="355">
        <v>0</v>
      </c>
      <c r="D163" s="148"/>
      <c r="E163" s="356">
        <f>IF(ISNA([1]DE1!C112),0,[1]DE1!C112)</f>
        <v>1.5</v>
      </c>
      <c r="H163" s="100"/>
      <c r="J163" s="98"/>
      <c r="L163" s="100"/>
      <c r="N163" s="100"/>
      <c r="P163" s="100"/>
      <c r="R163" s="100"/>
      <c r="T163" s="100"/>
      <c r="V163" s="110"/>
    </row>
    <row r="164" spans="1:22" s="97" customFormat="1" ht="15.75" hidden="1">
      <c r="A164" s="313" t="s">
        <v>433</v>
      </c>
      <c r="B164" s="301"/>
      <c r="C164" s="369">
        <v>0</v>
      </c>
      <c r="D164" s="148"/>
      <c r="E164" s="370">
        <f>IF(ISNA([1]DE1!C113),0,[1]DE1!C113)</f>
        <v>1120.778</v>
      </c>
      <c r="H164" s="342"/>
      <c r="J164" s="371"/>
      <c r="L164" s="342"/>
      <c r="M164" s="102"/>
      <c r="N164" s="342"/>
      <c r="O164" s="102"/>
      <c r="P164" s="342"/>
      <c r="Q164" s="102"/>
      <c r="R164" s="342"/>
      <c r="S164" s="102"/>
      <c r="T164" s="342"/>
      <c r="U164" s="195" t="s">
        <v>434</v>
      </c>
    </row>
    <row r="165" spans="1:22" s="97" customFormat="1" ht="15.75" hidden="1">
      <c r="A165" s="171" t="s">
        <v>435</v>
      </c>
      <c r="B165" s="301"/>
      <c r="C165" s="243">
        <v>0</v>
      </c>
      <c r="D165" s="148"/>
      <c r="E165" s="372">
        <f>IF(ISNA([1]DE1!C115),0,[1]DE1!C115)</f>
        <v>77814</v>
      </c>
      <c r="H165" s="342"/>
      <c r="J165" s="371"/>
      <c r="L165" s="342"/>
      <c r="M165" s="102"/>
      <c r="N165" s="342"/>
      <c r="O165" s="102"/>
      <c r="P165" s="342"/>
      <c r="Q165" s="102"/>
      <c r="R165" s="342"/>
      <c r="S165" s="102"/>
      <c r="T165" s="342"/>
      <c r="U165" s="195" t="s">
        <v>434</v>
      </c>
    </row>
    <row r="166" spans="1:22" s="97" customFormat="1" ht="15.75" hidden="1">
      <c r="A166" s="171" t="s">
        <v>436</v>
      </c>
      <c r="B166" s="301"/>
      <c r="C166" s="243">
        <v>0</v>
      </c>
      <c r="D166" s="148"/>
      <c r="E166" s="372">
        <f>IF(ISNA([1]DE1!C116),0,[1]DE1!C116)</f>
        <v>0</v>
      </c>
      <c r="H166" s="342"/>
      <c r="J166" s="371"/>
      <c r="L166" s="342"/>
      <c r="M166" s="102"/>
      <c r="N166" s="342"/>
      <c r="O166" s="102"/>
      <c r="P166" s="342"/>
      <c r="Q166" s="102"/>
      <c r="R166" s="342"/>
      <c r="S166" s="102"/>
      <c r="T166" s="342"/>
      <c r="U166" s="195" t="s">
        <v>434</v>
      </c>
    </row>
    <row r="167" spans="1:22" s="97" customFormat="1" ht="15.75" hidden="1">
      <c r="A167" s="221" t="s">
        <v>437</v>
      </c>
      <c r="B167" s="238"/>
      <c r="C167" s="373">
        <v>0</v>
      </c>
      <c r="D167" s="148"/>
      <c r="E167" s="374">
        <f>IF(ISNA([1]DE1!I149),0,[1]DE1!C117)</f>
        <v>4852.3881039357184</v>
      </c>
      <c r="H167" s="342"/>
      <c r="J167" s="371"/>
      <c r="L167" s="342"/>
      <c r="M167" s="102"/>
      <c r="N167" s="342"/>
      <c r="O167" s="102"/>
      <c r="P167" s="342"/>
      <c r="Q167" s="102"/>
      <c r="R167" s="342"/>
      <c r="S167" s="102"/>
      <c r="T167" s="342"/>
      <c r="U167" s="195" t="s">
        <v>434</v>
      </c>
    </row>
    <row r="168" spans="1:22" s="97" customFormat="1" ht="15.75">
      <c r="A168" s="375" t="s">
        <v>438</v>
      </c>
      <c r="B168" s="238"/>
      <c r="C168" s="373"/>
      <c r="D168" s="148"/>
      <c r="E168" s="374">
        <f>IF(ISNA([1]DE1!D118),0,[1]DE1!D118)</f>
        <v>784.56500000000005</v>
      </c>
      <c r="H168" s="342"/>
      <c r="J168" s="371"/>
      <c r="L168" s="342"/>
      <c r="M168" s="102"/>
      <c r="N168" s="342"/>
      <c r="O168" s="102"/>
      <c r="P168" s="342"/>
      <c r="Q168" s="102"/>
      <c r="R168" s="342"/>
      <c r="S168" s="102"/>
      <c r="T168" s="342"/>
      <c r="U168" s="195"/>
    </row>
    <row r="169" spans="1:22" s="97" customFormat="1" ht="15.75">
      <c r="A169" s="375" t="s">
        <v>439</v>
      </c>
      <c r="B169" s="238"/>
      <c r="C169" s="376">
        <v>0</v>
      </c>
      <c r="D169" s="98"/>
      <c r="E169" s="374">
        <f>IF(ISNA([1]DE1!C118),0,[1]DE1!C118)</f>
        <v>781.31799999999998</v>
      </c>
      <c r="H169" s="342"/>
      <c r="J169" s="371"/>
      <c r="L169" s="342"/>
      <c r="M169" s="102"/>
      <c r="N169" s="342"/>
      <c r="O169" s="102"/>
      <c r="P169" s="342"/>
      <c r="Q169" s="102"/>
      <c r="R169" s="342"/>
      <c r="S169" s="102"/>
      <c r="T169" s="342"/>
      <c r="U169" s="195" t="s">
        <v>434</v>
      </c>
    </row>
    <row r="170" spans="1:22" s="97" customFormat="1" ht="15.75">
      <c r="A170" s="375" t="s">
        <v>440</v>
      </c>
      <c r="B170" s="238"/>
      <c r="C170" s="377">
        <v>0</v>
      </c>
      <c r="D170" s="98"/>
      <c r="E170" s="372">
        <f>IF(ISNA([1]DE1!C53),0,[1]DE1!C53)</f>
        <v>157726811</v>
      </c>
      <c r="H170" s="342"/>
      <c r="J170" s="371"/>
      <c r="L170" s="342"/>
      <c r="M170" s="102"/>
      <c r="N170" s="342"/>
      <c r="O170" s="102"/>
      <c r="P170" s="342"/>
      <c r="Q170" s="102"/>
      <c r="R170" s="342"/>
      <c r="S170" s="102"/>
      <c r="T170" s="342"/>
      <c r="U170" s="195" t="s">
        <v>434</v>
      </c>
    </row>
    <row r="171" spans="1:22" s="97" customFormat="1" ht="15.75">
      <c r="A171" s="375" t="s">
        <v>441</v>
      </c>
      <c r="B171" s="238"/>
      <c r="C171" s="377">
        <v>0</v>
      </c>
      <c r="D171" s="98"/>
      <c r="E171" s="372">
        <f>IF(ISNA([1]DE1!C120),0,[1]DE1!C120)</f>
        <v>449145</v>
      </c>
      <c r="H171" s="342"/>
      <c r="J171" s="371"/>
      <c r="L171" s="342"/>
      <c r="M171" s="102"/>
      <c r="N171" s="342"/>
      <c r="O171" s="102"/>
      <c r="P171" s="342"/>
      <c r="Q171" s="102"/>
      <c r="R171" s="342"/>
      <c r="S171" s="102"/>
      <c r="T171" s="342"/>
      <c r="U171" s="195" t="s">
        <v>434</v>
      </c>
    </row>
    <row r="172" spans="1:22" s="97" customFormat="1" ht="15.75">
      <c r="A172" s="375" t="s">
        <v>442</v>
      </c>
      <c r="B172" s="238"/>
      <c r="C172" s="377">
        <v>0</v>
      </c>
      <c r="D172" s="98"/>
      <c r="E172" s="372">
        <f>IF(ISNA([1]DE1!C121),0,[1]DE1!C121)</f>
        <v>126630</v>
      </c>
      <c r="H172" s="342"/>
      <c r="J172" s="371"/>
      <c r="L172" s="342"/>
      <c r="M172" s="102"/>
      <c r="N172" s="342"/>
      <c r="O172" s="102"/>
      <c r="P172" s="342"/>
      <c r="Q172" s="102"/>
      <c r="R172" s="342"/>
      <c r="S172" s="102"/>
      <c r="T172" s="342"/>
      <c r="U172" s="195" t="s">
        <v>434</v>
      </c>
    </row>
    <row r="173" spans="1:22" s="97" customFormat="1" ht="15.75">
      <c r="A173" s="375" t="s">
        <v>443</v>
      </c>
      <c r="B173" s="238"/>
      <c r="C173" s="377">
        <v>0</v>
      </c>
      <c r="D173" s="98"/>
      <c r="E173" s="372">
        <f>IF(ISNA([1]DE1!C122),0,[1]DE1!C122)</f>
        <v>312264</v>
      </c>
      <c r="G173" s="378"/>
      <c r="H173" s="342"/>
      <c r="J173" s="371"/>
      <c r="L173" s="342"/>
      <c r="M173" s="102"/>
      <c r="N173" s="342"/>
      <c r="O173" s="102"/>
      <c r="P173" s="342"/>
      <c r="Q173" s="102"/>
      <c r="R173" s="342"/>
      <c r="S173" s="102"/>
      <c r="T173" s="342"/>
      <c r="U173" s="195" t="s">
        <v>434</v>
      </c>
    </row>
    <row r="174" spans="1:22" s="100" customFormat="1" ht="15.75">
      <c r="A174" s="375" t="s">
        <v>444</v>
      </c>
      <c r="B174" s="238"/>
      <c r="C174" s="379">
        <v>0</v>
      </c>
      <c r="D174" s="98"/>
      <c r="E174" s="380">
        <f>IF(ISNA([1]DE1!C123),0,[1]DE1!C123)</f>
        <v>1.17</v>
      </c>
      <c r="G174" s="381"/>
      <c r="H174" s="342"/>
      <c r="J174" s="371"/>
      <c r="L174" s="342"/>
      <c r="M174" s="342"/>
      <c r="N174" s="342"/>
      <c r="O174" s="342"/>
      <c r="P174" s="342"/>
      <c r="Q174" s="342"/>
      <c r="R174" s="342"/>
      <c r="S174" s="342"/>
      <c r="T174" s="342"/>
      <c r="U174" s="195" t="s">
        <v>434</v>
      </c>
    </row>
    <row r="175" spans="1:22" s="100" customFormat="1" ht="15.75">
      <c r="A175" s="382" t="s">
        <v>445</v>
      </c>
      <c r="B175" s="145"/>
      <c r="C175" s="165">
        <v>0</v>
      </c>
      <c r="D175" s="148"/>
      <c r="E175" s="383"/>
      <c r="G175" s="381"/>
      <c r="J175" s="98"/>
      <c r="U175" s="115"/>
    </row>
    <row r="176" spans="1:22" s="100" customFormat="1" ht="15.75">
      <c r="A176" s="313" t="s">
        <v>446</v>
      </c>
      <c r="B176" s="301"/>
      <c r="C176" s="243">
        <v>0</v>
      </c>
      <c r="D176" s="148"/>
      <c r="E176" s="372">
        <f>IF(ISNA([1]DE1!C126),0,[1]DE1!C126)</f>
        <v>0</v>
      </c>
      <c r="G176" s="381"/>
      <c r="J176" s="98"/>
      <c r="U176" s="195" t="s">
        <v>430</v>
      </c>
    </row>
    <row r="177" spans="1:24" s="100" customFormat="1" ht="15.75">
      <c r="A177" s="313" t="s">
        <v>447</v>
      </c>
      <c r="B177" s="301"/>
      <c r="C177" s="243">
        <v>0</v>
      </c>
      <c r="D177" s="148"/>
      <c r="E177" s="372">
        <f>IF(ISNA([1]DE1!C127),0,[1]DE1!C127)</f>
        <v>0</v>
      </c>
      <c r="J177" s="98"/>
      <c r="U177" s="195" t="s">
        <v>430</v>
      </c>
      <c r="V177" s="384"/>
    </row>
    <row r="178" spans="1:24" s="100" customFormat="1" ht="15.75">
      <c r="A178" s="313" t="s">
        <v>448</v>
      </c>
      <c r="B178" s="301"/>
      <c r="C178" s="243">
        <v>0</v>
      </c>
      <c r="D178" s="148"/>
      <c r="E178" s="374">
        <f>IF(ISNA([1]DE1!C128),0,[1]DE1!C128)</f>
        <v>0</v>
      </c>
      <c r="J178" s="98"/>
      <c r="U178" s="195" t="s">
        <v>430</v>
      </c>
      <c r="V178" s="384"/>
    </row>
    <row r="179" spans="1:24" s="100" customFormat="1" ht="15.75">
      <c r="A179" s="313" t="s">
        <v>449</v>
      </c>
      <c r="B179" s="301"/>
      <c r="C179" s="243">
        <v>0</v>
      </c>
      <c r="D179" s="148"/>
      <c r="E179" s="372">
        <f>IF(ISNA([1]DE1!C129),0,[1]DE1!C129)</f>
        <v>0</v>
      </c>
      <c r="J179" s="98"/>
      <c r="U179" s="195" t="s">
        <v>430</v>
      </c>
      <c r="V179" s="384"/>
    </row>
    <row r="180" spans="1:24" hidden="1">
      <c r="A180" s="385" t="s">
        <v>450</v>
      </c>
      <c r="B180" s="385"/>
      <c r="E180" s="385"/>
      <c r="G180" s="385"/>
      <c r="M180" s="385"/>
      <c r="O180" s="385"/>
      <c r="Q180" s="385"/>
      <c r="S180" s="385"/>
      <c r="U180" s="321" t="s">
        <v>451</v>
      </c>
      <c r="V180" s="386"/>
      <c r="W180" s="385"/>
    </row>
    <row r="181" spans="1:24" s="115" customFormat="1" ht="12.75" customHeight="1">
      <c r="A181"/>
      <c r="B181"/>
      <c r="C181" s="387"/>
      <c r="D181" s="114"/>
      <c r="J181" s="116"/>
      <c r="V181" s="388"/>
      <c r="W181" s="327"/>
    </row>
    <row r="182" spans="1:24" s="115" customFormat="1" ht="12.75" customHeight="1">
      <c r="A182"/>
      <c r="B182"/>
      <c r="C182" s="387"/>
      <c r="D182" s="114"/>
      <c r="J182" s="116"/>
      <c r="V182" s="388"/>
      <c r="W182" s="327"/>
    </row>
    <row r="183" spans="1:24" s="115" customFormat="1" ht="12.75" customHeight="1">
      <c r="A183"/>
      <c r="B183"/>
      <c r="C183" s="387"/>
      <c r="D183" s="114"/>
      <c r="J183" s="116"/>
      <c r="V183" s="388"/>
      <c r="W183" s="389" t="s">
        <v>452</v>
      </c>
    </row>
    <row r="184" spans="1:24" s="115" customFormat="1" ht="12.75" customHeight="1">
      <c r="A184"/>
      <c r="B184"/>
      <c r="C184" s="387"/>
      <c r="D184" s="114"/>
      <c r="I184" s="102"/>
      <c r="J184" s="116"/>
      <c r="K184" s="102" t="s">
        <v>453</v>
      </c>
      <c r="W184" s="390">
        <f>IF(B2="101-902",1.1534-E97,IF(B2="101-908",IF(E92-E97&gt;=1.17,1.17,E92-E97),IF(B2="101-910",IF(E92-E97&gt;=1.17,1.17,E92-E97),IF(B2="101-914",1.1466-E97,IF(B2="101-917",IF(E92-E93=1.17,1.17,E92-E97),IF(B2="101-920",1.11-E97,E92-E97))))))</f>
        <v>1.17</v>
      </c>
      <c r="X184" s="97" t="s">
        <v>454</v>
      </c>
    </row>
    <row r="185" spans="1:24" s="115" customFormat="1" ht="12.75" customHeight="1">
      <c r="A185"/>
      <c r="B185"/>
      <c r="C185" s="387"/>
      <c r="D185" s="114"/>
      <c r="I185" s="97"/>
      <c r="J185" s="116"/>
      <c r="K185" s="97" t="s">
        <v>455</v>
      </c>
      <c r="W185" s="391">
        <f>IF(W184&gt;=1,1,W184*0.93)</f>
        <v>1</v>
      </c>
      <c r="X185" s="97" t="s">
        <v>456</v>
      </c>
    </row>
    <row r="186" spans="1:24" s="115" customFormat="1" ht="12.75" customHeight="1">
      <c r="A186"/>
      <c r="B186"/>
      <c r="C186" s="387"/>
      <c r="D186" s="114"/>
      <c r="I186" s="97"/>
      <c r="J186" s="116"/>
      <c r="K186" s="97" t="s">
        <v>457</v>
      </c>
      <c r="W186" s="391">
        <f>IF(W184&lt;=1,0,W184-W185)</f>
        <v>0.16999999999999993</v>
      </c>
      <c r="X186" s="97" t="s">
        <v>458</v>
      </c>
    </row>
    <row r="187" spans="1:24" s="115" customFormat="1" ht="12.75" customHeight="1">
      <c r="A187"/>
      <c r="B187"/>
      <c r="C187" s="387"/>
      <c r="D187" s="114"/>
      <c r="I187" s="97"/>
      <c r="J187" s="116"/>
      <c r="K187" s="97" t="s">
        <v>459</v>
      </c>
      <c r="W187" s="391">
        <f>IF(W186&gt;=0.08,0.08,W186)</f>
        <v>0.08</v>
      </c>
      <c r="X187" s="97" t="s">
        <v>460</v>
      </c>
    </row>
    <row r="188" spans="1:24" s="115" customFormat="1" ht="12.75" customHeight="1">
      <c r="A188"/>
      <c r="B188"/>
      <c r="C188" s="387"/>
      <c r="D188" s="114"/>
      <c r="I188" s="97"/>
      <c r="J188" s="116"/>
      <c r="K188" s="97" t="s">
        <v>461</v>
      </c>
      <c r="W188" s="391">
        <f>IF(W186-W187&lt;=0,0,W186-W187)</f>
        <v>8.9999999999999927E-2</v>
      </c>
      <c r="X188" s="97" t="s">
        <v>462</v>
      </c>
    </row>
    <row r="189" spans="1:24" s="115" customFormat="1" ht="12.75" customHeight="1">
      <c r="A189"/>
      <c r="B189"/>
      <c r="C189" s="387"/>
      <c r="D189" s="114"/>
      <c r="I189" s="97"/>
      <c r="J189" s="116"/>
      <c r="K189" s="97" t="s">
        <v>463</v>
      </c>
      <c r="W189" s="391">
        <f>TRUNC(W188*(31.95/49.28),4)</f>
        <v>5.8299999999999998E-2</v>
      </c>
      <c r="X189" s="97" t="s">
        <v>464</v>
      </c>
    </row>
    <row r="190" spans="1:24" s="115" customFormat="1" ht="12.75" customHeight="1">
      <c r="A190"/>
      <c r="B190"/>
      <c r="C190" s="387"/>
      <c r="D190" s="114"/>
      <c r="I190" s="260"/>
      <c r="J190" s="116"/>
      <c r="K190" s="260" t="s">
        <v>465</v>
      </c>
      <c r="W190" s="392">
        <f>IF(W185&lt;=0.93,W185,W185*0.93)</f>
        <v>0.93</v>
      </c>
      <c r="X190" s="97" t="s">
        <v>466</v>
      </c>
    </row>
    <row r="191" spans="1:24" s="115" customFormat="1" ht="12.75" customHeight="1">
      <c r="A191"/>
      <c r="B191"/>
      <c r="C191" s="387"/>
      <c r="D191" s="114"/>
      <c r="I191" s="100"/>
      <c r="J191" s="116"/>
      <c r="K191" s="100" t="s">
        <v>467</v>
      </c>
      <c r="W191" s="391">
        <f>W190+W189+W187</f>
        <v>1.0683</v>
      </c>
      <c r="X191" s="97" t="s">
        <v>468</v>
      </c>
    </row>
    <row r="192" spans="1:24" s="115" customFormat="1" ht="12.75" customHeight="1">
      <c r="A192"/>
      <c r="B192"/>
      <c r="C192" s="387"/>
      <c r="D192" s="114"/>
      <c r="I192" s="100"/>
      <c r="J192" s="116"/>
      <c r="K192" s="100" t="s">
        <v>469</v>
      </c>
      <c r="W192" s="391">
        <v>0.93</v>
      </c>
      <c r="X192" s="97" t="s">
        <v>470</v>
      </c>
    </row>
    <row r="193" spans="1:26" s="115" customFormat="1" ht="12.75" customHeight="1">
      <c r="A193"/>
      <c r="B193"/>
      <c r="C193" s="387"/>
      <c r="D193" s="114"/>
      <c r="I193" s="100"/>
      <c r="J193" s="116"/>
      <c r="K193" s="100" t="s">
        <v>471</v>
      </c>
      <c r="W193" s="393">
        <f>IF(W191-W192&lt;=0,0,W191-W192)</f>
        <v>0.13829999999999998</v>
      </c>
      <c r="X193" s="100" t="s">
        <v>472</v>
      </c>
    </row>
    <row r="194" spans="1:26" s="115" customFormat="1" ht="12.75" customHeight="1">
      <c r="A194"/>
      <c r="B194"/>
      <c r="C194" s="387"/>
      <c r="D194" s="114"/>
      <c r="I194" s="100"/>
      <c r="J194" s="116"/>
      <c r="K194" s="100" t="s">
        <v>473</v>
      </c>
      <c r="W194" s="393">
        <f>IF(W193&gt;=0.08,0.08,W193)</f>
        <v>0.08</v>
      </c>
      <c r="X194" s="100" t="s">
        <v>474</v>
      </c>
    </row>
    <row r="195" spans="1:26" s="115" customFormat="1" ht="12.75" customHeight="1">
      <c r="A195"/>
      <c r="B195"/>
      <c r="C195" s="387"/>
      <c r="D195" s="114"/>
      <c r="J195" s="116"/>
      <c r="W195" s="393">
        <f>IF(W193-W194&lt;=0,0,W193-W194)</f>
        <v>5.8299999999999977E-2</v>
      </c>
      <c r="X195" s="100" t="s">
        <v>475</v>
      </c>
    </row>
    <row r="196" spans="1:26" s="115" customFormat="1" ht="12.75" customHeight="1">
      <c r="A196"/>
      <c r="B196"/>
      <c r="C196" s="387"/>
      <c r="D196" s="114"/>
      <c r="J196" s="116"/>
      <c r="V196" s="388"/>
      <c r="W196" s="327"/>
    </row>
    <row r="197" spans="1:26" s="115" customFormat="1" ht="12.75" customHeight="1">
      <c r="A197"/>
      <c r="B197"/>
      <c r="C197" s="387"/>
      <c r="D197" s="114"/>
      <c r="J197" s="116"/>
      <c r="V197" s="388"/>
      <c r="W197" s="389" t="s">
        <v>476</v>
      </c>
      <c r="X197" s="389" t="s">
        <v>477</v>
      </c>
      <c r="Y197" s="389" t="s">
        <v>478</v>
      </c>
      <c r="Z197" s="389" t="s">
        <v>479</v>
      </c>
    </row>
    <row r="198" spans="1:26" s="115" customFormat="1" ht="12.75" customHeight="1">
      <c r="A198"/>
      <c r="B198"/>
      <c r="C198" s="387"/>
      <c r="D198" s="114"/>
      <c r="J198" s="116"/>
      <c r="V198" s="394" t="s">
        <v>21</v>
      </c>
      <c r="W198" s="395">
        <f>M95</f>
        <v>1.0547</v>
      </c>
      <c r="X198" s="395">
        <f>O95</f>
        <v>0</v>
      </c>
      <c r="Y198" s="395">
        <f>Q95</f>
        <v>0</v>
      </c>
      <c r="Z198" s="395">
        <f>S95</f>
        <v>0</v>
      </c>
    </row>
    <row r="199" spans="1:26" s="115" customFormat="1" ht="12.75" customHeight="1">
      <c r="A199"/>
      <c r="B199"/>
      <c r="C199" s="387"/>
      <c r="D199" s="114"/>
      <c r="J199" s="116"/>
      <c r="V199" s="394" t="s">
        <v>480</v>
      </c>
      <c r="W199" s="395">
        <f>'[1]Calc Data'!G219</f>
        <v>0.91639999999999999</v>
      </c>
      <c r="X199" s="395">
        <f>'[1]Calc Data'!J219</f>
        <v>0.90300000000000002</v>
      </c>
      <c r="Y199" s="395" t="e">
        <f>'[1]Calc Data'!L219</f>
        <v>#DIV/0!</v>
      </c>
      <c r="Z199" s="395" t="e">
        <f>'[1]Calc Data'!N219</f>
        <v>#DIV/0!</v>
      </c>
    </row>
    <row r="200" spans="1:26" s="115" customFormat="1" ht="12.75" customHeight="1">
      <c r="A200"/>
      <c r="B200"/>
      <c r="C200" s="387"/>
      <c r="D200" s="114"/>
      <c r="J200" s="116"/>
      <c r="V200" s="394" t="s">
        <v>481</v>
      </c>
      <c r="W200" s="395">
        <f>IF($B$2="101-908",W198-W199-W209,IF($B$2="101-910",W198-W199-W210,IF($B$2="101-917",W199-W198-W212,W198-W199)))</f>
        <v>0.13829999999999998</v>
      </c>
      <c r="X200" s="395">
        <f>IF($B$2="101-908",X198-X199-W209,IF($B$2="101-910",X198-X199-W210,IF($B$2="101-917",X198-X199-W212,X198-X199)))</f>
        <v>-0.90300000000000002</v>
      </c>
      <c r="Y200" s="395" t="e">
        <f>IF($B$2="101-908",Y198-Y199-W209,IF($B$2="101-910",Y198-Y199-W210,IF($B$2="101-917",Y198-Y199-W212,Y198-Y199)))</f>
        <v>#DIV/0!</v>
      </c>
      <c r="Z200" s="395" t="e">
        <f>IF($B$2="101-908",Z198-Z199-W209,IF($B$2="101-910",Z198-Z199-W210,IF($B$2="101-917",Z198-Z199-W212,Z198-Z199)))</f>
        <v>#DIV/0!</v>
      </c>
    </row>
    <row r="201" spans="1:26" s="115" customFormat="1" ht="15" customHeight="1">
      <c r="A201"/>
      <c r="B201"/>
      <c r="C201" s="387"/>
      <c r="D201" s="114"/>
      <c r="J201" s="116"/>
      <c r="V201" s="394" t="s">
        <v>482</v>
      </c>
      <c r="W201" s="395">
        <f>IF(W200&gt;=0.08,0.08,W200)</f>
        <v>0.08</v>
      </c>
      <c r="X201" s="395">
        <f>IF(X200&gt;=0.08,0.08,X200)</f>
        <v>-0.90300000000000002</v>
      </c>
      <c r="Y201" s="395" t="e">
        <f>IF(Y200&gt;=0.08,0.08,Y200)</f>
        <v>#DIV/0!</v>
      </c>
      <c r="Z201" s="395" t="e">
        <f>IF(Z200&gt;=0.08,0.08,Z200)</f>
        <v>#DIV/0!</v>
      </c>
    </row>
    <row r="202" spans="1:26" s="115" customFormat="1" ht="12.75" customHeight="1">
      <c r="A202"/>
      <c r="B202"/>
      <c r="C202" s="387"/>
      <c r="D202" s="114"/>
      <c r="J202" s="116"/>
      <c r="V202" s="394" t="s">
        <v>483</v>
      </c>
      <c r="W202" s="395">
        <f>W200-W201</f>
        <v>5.8299999999999977E-2</v>
      </c>
      <c r="X202" s="395">
        <f>X200-X201</f>
        <v>0</v>
      </c>
      <c r="Y202" s="395" t="e">
        <f>Y200-Y201</f>
        <v>#DIV/0!</v>
      </c>
      <c r="Z202" s="395" t="e">
        <f>Z200-Z201</f>
        <v>#DIV/0!</v>
      </c>
    </row>
    <row r="203" spans="1:26" s="115" customFormat="1" ht="12.75" hidden="1" customHeight="1">
      <c r="A203"/>
      <c r="B203"/>
      <c r="C203" s="387"/>
      <c r="D203" s="114"/>
      <c r="J203" s="116"/>
      <c r="V203" s="394" t="s">
        <v>484</v>
      </c>
      <c r="W203" s="396">
        <f>IF(W202=0,0,([1]Assumptions!G129/[1]Assumptions!H129)*W202)</f>
        <v>3.7797991071428561E-2</v>
      </c>
      <c r="X203" s="396">
        <f>IF(X202=0,0,([1]Assumptions!G138/[1]Assumptions!H138)*X202)</f>
        <v>0</v>
      </c>
      <c r="Y203" s="396" t="e">
        <f>IF(Y202=0,0,([1]Assumptions!G147/[1]Assumptions!H147)*Y202)</f>
        <v>#DIV/0!</v>
      </c>
      <c r="Z203" s="396" t="e">
        <f>IF(Z202=0,0,([1]Assumptions!G156/[1]Assumptions!H156)*Z202)</f>
        <v>#DIV/0!</v>
      </c>
    </row>
    <row r="204" spans="1:26" s="115" customFormat="1" ht="12.75" hidden="1" customHeight="1">
      <c r="A204"/>
      <c r="B204"/>
      <c r="C204" s="387"/>
      <c r="D204" s="114"/>
      <c r="J204" s="116"/>
      <c r="V204" s="394" t="s">
        <v>485</v>
      </c>
      <c r="W204" s="396">
        <f>W202-W203</f>
        <v>2.0502008928571416E-2</v>
      </c>
      <c r="X204" s="396">
        <f>X202-X203</f>
        <v>0</v>
      </c>
      <c r="Y204" s="396" t="e">
        <f>Y202-Y203</f>
        <v>#DIV/0!</v>
      </c>
      <c r="Z204" s="396" t="e">
        <f>Z202-Z203</f>
        <v>#DIV/0!</v>
      </c>
    </row>
    <row r="205" spans="1:26" s="115" customFormat="1" ht="12.75" hidden="1" customHeight="1">
      <c r="A205"/>
      <c r="B205"/>
      <c r="C205" s="387"/>
      <c r="D205" s="114"/>
      <c r="J205" s="116"/>
      <c r="V205" s="394" t="s">
        <v>486</v>
      </c>
      <c r="W205" s="396">
        <f>W201+W203</f>
        <v>0.11779799107142856</v>
      </c>
      <c r="X205" s="396">
        <f t="shared" ref="X205:Z205" si="33">X201+X203</f>
        <v>-0.90300000000000002</v>
      </c>
      <c r="Y205" s="397" t="e">
        <f t="shared" si="33"/>
        <v>#DIV/0!</v>
      </c>
      <c r="Z205" s="397" t="e">
        <f t="shared" si="33"/>
        <v>#DIV/0!</v>
      </c>
    </row>
    <row r="206" spans="1:26" s="115" customFormat="1" ht="12" customHeight="1">
      <c r="A206"/>
      <c r="B206"/>
      <c r="C206" s="387"/>
      <c r="D206" s="114"/>
      <c r="J206" s="116"/>
      <c r="V206" s="388"/>
      <c r="W206" s="398"/>
    </row>
    <row r="207" spans="1:26" ht="12.75" customHeight="1">
      <c r="V207" s="399" t="s">
        <v>487</v>
      </c>
      <c r="W207" s="400" t="s">
        <v>488</v>
      </c>
      <c r="X207" s="401"/>
    </row>
    <row r="208" spans="1:26">
      <c r="V208" s="399" t="s">
        <v>489</v>
      </c>
      <c r="W208" s="402">
        <v>0</v>
      </c>
    </row>
    <row r="209" spans="3:23">
      <c r="C209" s="403">
        <f>C93+C101</f>
        <v>0</v>
      </c>
      <c r="E209" s="404">
        <f>E93+E101</f>
        <v>0</v>
      </c>
      <c r="G209" s="404">
        <f>G93+G101</f>
        <v>1305123361</v>
      </c>
      <c r="H209" s="405"/>
      <c r="J209" s="406"/>
      <c r="K209" s="404">
        <f>K93+K101</f>
        <v>2582227.7112700003</v>
      </c>
      <c r="L209" s="405"/>
      <c r="M209" s="404">
        <f>M93+M101</f>
        <v>2896043.9387999997</v>
      </c>
      <c r="N209" s="405"/>
      <c r="O209" s="404" t="e">
        <f>O93+O101</f>
        <v>#DIV/0!</v>
      </c>
      <c r="P209" s="405"/>
      <c r="Q209" s="404" t="e">
        <f>Q93+Q101</f>
        <v>#DIV/0!</v>
      </c>
      <c r="R209" s="405"/>
      <c r="S209" s="404" t="e">
        <f>S93+S101</f>
        <v>#DIV/0!</v>
      </c>
      <c r="T209" s="405"/>
      <c r="V209" s="399" t="s">
        <v>490</v>
      </c>
      <c r="W209" s="402">
        <f>TRUNC(1.2367-1.17,4)</f>
        <v>6.6699999999999995E-2</v>
      </c>
    </row>
    <row r="210" spans="3:23">
      <c r="C210" s="407"/>
      <c r="E210" s="408"/>
      <c r="G210" s="408"/>
      <c r="H210" s="409"/>
      <c r="J210" s="410"/>
      <c r="K210" s="408"/>
      <c r="L210" s="409"/>
      <c r="M210" s="408"/>
      <c r="N210" s="409"/>
      <c r="O210" s="408"/>
      <c r="P210" s="409"/>
      <c r="Q210" s="408"/>
      <c r="R210" s="409"/>
      <c r="S210" s="408"/>
      <c r="T210" s="409"/>
      <c r="V210" s="399" t="s">
        <v>491</v>
      </c>
      <c r="W210" s="402">
        <f>1.2433-1.17</f>
        <v>7.3300000000000143E-2</v>
      </c>
    </row>
    <row r="211" spans="3:23">
      <c r="C211" s="411" t="s">
        <v>168</v>
      </c>
      <c r="E211" s="412" t="s">
        <v>169</v>
      </c>
      <c r="G211" s="412" t="s">
        <v>170</v>
      </c>
      <c r="H211" s="413"/>
      <c r="J211" s="414"/>
      <c r="K211" s="412" t="s">
        <v>170</v>
      </c>
      <c r="L211" s="413"/>
      <c r="M211" s="412" t="s">
        <v>171</v>
      </c>
      <c r="N211" s="413"/>
      <c r="O211" s="412" t="s">
        <v>172</v>
      </c>
      <c r="P211" s="413"/>
      <c r="Q211" s="412" t="s">
        <v>173</v>
      </c>
      <c r="R211" s="413"/>
      <c r="S211" s="412" t="s">
        <v>174</v>
      </c>
      <c r="T211" s="413"/>
      <c r="V211" s="399" t="s">
        <v>492</v>
      </c>
      <c r="W211" s="402">
        <v>0</v>
      </c>
    </row>
    <row r="212" spans="3:23">
      <c r="C212" s="411" t="s">
        <v>493</v>
      </c>
      <c r="E212" s="412" t="s">
        <v>493</v>
      </c>
      <c r="G212" s="412" t="s">
        <v>493</v>
      </c>
      <c r="H212" s="413"/>
      <c r="J212" s="414"/>
      <c r="K212" s="412" t="s">
        <v>493</v>
      </c>
      <c r="L212" s="413"/>
      <c r="M212" s="412" t="s">
        <v>493</v>
      </c>
      <c r="N212" s="413"/>
      <c r="O212" s="412" t="s">
        <v>493</v>
      </c>
      <c r="P212" s="413"/>
      <c r="Q212" s="412" t="s">
        <v>493</v>
      </c>
      <c r="R212" s="413"/>
      <c r="S212" s="412" t="s">
        <v>493</v>
      </c>
      <c r="T212" s="413"/>
      <c r="V212" s="399" t="s">
        <v>494</v>
      </c>
      <c r="W212" s="402">
        <f>1.2-1.17</f>
        <v>3.0000000000000027E-2</v>
      </c>
    </row>
    <row r="213" spans="3:23">
      <c r="C213" s="415">
        <f>IF(C60&gt;(C19*0.05),C19*0.05,C60)</f>
        <v>0</v>
      </c>
      <c r="E213" s="416">
        <f>IF(E60&gt;(E19*0.05),E19*0.05,E60)</f>
        <v>0</v>
      </c>
      <c r="G213" s="416">
        <f>IF(G60&gt;(G19*0.05),G19*0.05,G60)</f>
        <v>0</v>
      </c>
      <c r="H213" s="417"/>
      <c r="J213" s="418"/>
      <c r="K213" s="416">
        <f>IF(K60&gt;(K19*0.05),K19*0.05,K60)</f>
        <v>0</v>
      </c>
      <c r="L213" s="417"/>
      <c r="M213" s="416">
        <f>IF(M60&gt;(M19*0.05),M19*0.05,M60)</f>
        <v>0</v>
      </c>
      <c r="N213" s="417"/>
      <c r="O213" s="416">
        <f>IF(O60&gt;(O19*0.05),O19*0.05,O60)</f>
        <v>0</v>
      </c>
      <c r="P213" s="417"/>
      <c r="Q213" s="416">
        <f>IF(Q60&gt;(Q19*0.05),Q19*0.05,Q60)</f>
        <v>0</v>
      </c>
      <c r="R213" s="417"/>
      <c r="S213" s="416">
        <f>IF(S60&gt;(S19*0.05),S19*0.05,S60)</f>
        <v>0</v>
      </c>
      <c r="T213" s="417"/>
      <c r="V213" s="399" t="s">
        <v>495</v>
      </c>
      <c r="W213" s="402">
        <v>0</v>
      </c>
    </row>
    <row r="214" spans="3:23">
      <c r="C214" s="407"/>
      <c r="E214" s="408"/>
      <c r="G214" s="408"/>
      <c r="H214" s="409"/>
      <c r="J214" s="410"/>
      <c r="K214" s="408"/>
      <c r="L214" s="409"/>
      <c r="M214" s="408"/>
      <c r="N214" s="409"/>
      <c r="O214" s="408"/>
      <c r="P214" s="409"/>
      <c r="Q214" s="408"/>
      <c r="R214" s="409"/>
      <c r="S214" s="408"/>
      <c r="T214" s="409"/>
    </row>
    <row r="215" spans="3:23">
      <c r="C215" s="411" t="s">
        <v>168</v>
      </c>
      <c r="E215" s="412" t="s">
        <v>169</v>
      </c>
      <c r="G215" s="412" t="s">
        <v>170</v>
      </c>
      <c r="H215" s="413"/>
      <c r="J215" s="414"/>
      <c r="K215" s="412" t="s">
        <v>170</v>
      </c>
      <c r="L215" s="413"/>
      <c r="M215" s="412" t="s">
        <v>171</v>
      </c>
      <c r="N215" s="413"/>
      <c r="O215" s="412" t="s">
        <v>172</v>
      </c>
      <c r="P215" s="413"/>
      <c r="Q215" s="412" t="str">
        <f>Q211</f>
        <v>2022-23</v>
      </c>
      <c r="R215" s="413"/>
      <c r="S215" s="412" t="str">
        <f>S211</f>
        <v>2023-24</v>
      </c>
      <c r="T215" s="413"/>
    </row>
    <row r="216" spans="3:23">
      <c r="C216" s="419" t="s">
        <v>496</v>
      </c>
      <c r="E216" s="420" t="s">
        <v>496</v>
      </c>
      <c r="G216" s="420" t="s">
        <v>496</v>
      </c>
      <c r="H216" s="421"/>
      <c r="J216" s="422"/>
      <c r="K216" s="420" t="s">
        <v>496</v>
      </c>
      <c r="L216" s="421"/>
      <c r="M216" s="420" t="s">
        <v>496</v>
      </c>
      <c r="N216" s="421"/>
      <c r="O216" s="420" t="s">
        <v>496</v>
      </c>
      <c r="P216" s="421"/>
      <c r="Q216" s="420" t="s">
        <v>496</v>
      </c>
      <c r="R216" s="421"/>
      <c r="S216" s="420" t="s">
        <v>496</v>
      </c>
      <c r="T216" s="421"/>
    </row>
    <row r="217" spans="3:23">
      <c r="C217" s="403">
        <f>IF(AND(C160&gt;30,C158=12),130,IF(OR('[1]Calc Data'!C10&gt;129.999,C158&lt;12),0,IF(OR(#REF!&gt;=90,'[1]Calc Data'!C6&gt;=90),130,0)))</f>
        <v>0</v>
      </c>
      <c r="E217" s="404">
        <f>IF(AND(E160&gt;30,E158=12),130,IF(OR('[1]Calc Data'!E10&gt;129.999,E158&lt;12),0,IF(OR(E168&gt;=90,'[1]Calc Data'!E6&gt;=90),130,0)))</f>
        <v>130</v>
      </c>
      <c r="G217" s="404">
        <f>IF(AND(G160&gt;30,G158=12),130,IF(OR('[1]Calc Data'!F10&gt;129.999,G158&lt;12),0,IF(OR('[1]Calc Data'!E6&gt;=90,'[1]Calc Data'!F6&gt;=90),130,0)))</f>
        <v>0</v>
      </c>
      <c r="H217" s="405"/>
      <c r="J217" s="406"/>
      <c r="K217" s="404">
        <f>IF(AND(K160&gt;30,K158=12),130,IF(OR('[1]Calc Data'!F12&gt;129.999,K158&lt;12),0,IF(OR('[1]Calc Data'!E6&gt;=90,'[1]Calc Data'!F6&gt;=90),130,0)))</f>
        <v>0</v>
      </c>
      <c r="L217" s="405"/>
      <c r="M217" s="404">
        <f>IF(AND(M160&gt;30,M158=12),130,IF(OR('[1]Calc Data'!G12&gt;129.999,M158&lt;12),0,IF(OR('[1]Calc Data'!F6&gt;=90,'[1]Calc Data'!G6&gt;=90),130,0)))</f>
        <v>0</v>
      </c>
      <c r="N217" s="405"/>
      <c r="O217" s="404">
        <f>IF(AND(O160&gt;30,O158=12),130,IF(OR('[1]Calc Data'!H12&gt;129.999,O158&lt;12),0,IF(OR('[1]Calc Data'!G6&gt;=90,'[1]Calc Data'!H6&gt;=90),130,0)))</f>
        <v>0</v>
      </c>
      <c r="P217" s="405"/>
      <c r="Q217" s="404">
        <f>IF(AND(Q160&gt;30,Q158=12),130,IF(OR('[1]Calc Data'!I12&gt;129.999,Q158&lt;12),0,IF(OR('[1]Calc Data'!H6&gt;=90,'[1]Calc Data'!I6&gt;=90),130,0)))</f>
        <v>0</v>
      </c>
      <c r="R217" s="405"/>
      <c r="S217" s="404">
        <f>IF(AND(S160&gt;30,S158=12),130,IF(OR('[1]Calc Data'!J12&gt;129.999,S158&lt;12),0,IF(OR('[1]Calc Data'!I6&gt;=90,'[1]Calc Data'!J6&gt;=90),130,0)))</f>
        <v>0</v>
      </c>
      <c r="T217" s="405"/>
    </row>
    <row r="218" spans="3:23" ht="12.75" customHeight="1">
      <c r="C218" s="423">
        <f>IF(AND(C160&gt;30,C158=8),75,IF(C158&lt;8,0,IF(OR(#REF!&gt;=50,'[1]Calc Data'!C6&gt;=50),75,0)))</f>
        <v>0</v>
      </c>
      <c r="E218" s="424">
        <f>IF(AND(E160&gt;30,E158=8),75,IF(E158&lt;8,0,IF(OR(E168&gt;=50,'[1]Calc Data'!E6&gt;=50),75,0)))</f>
        <v>75</v>
      </c>
      <c r="G218" s="424">
        <f>IF(AND(G160&gt;30,G158=8),75,IF(G158&lt;8,0,IF(OR('[1]Calc Data'!E6&gt;=50,'[1]Calc Data'!F6&gt;=50),75,0)))</f>
        <v>0</v>
      </c>
      <c r="H218" s="425"/>
      <c r="J218" s="426"/>
      <c r="K218" s="424">
        <f>IF(AND(K160&gt;30,K158=8),75,IF(K158&lt;8,0,IF(OR('[1]Calc Data'!E6&gt;=50,'[1]Calc Data'!F6&gt;=50),75,0)))</f>
        <v>0</v>
      </c>
      <c r="L218" s="425"/>
      <c r="M218" s="424">
        <f>IF(AND(M160&gt;30,M158=8),75,IF(M158&lt;8,0,IF(OR('[1]Calc Data'!F6&gt;=50,'[1]Calc Data'!G6&gt;=50),75,0)))</f>
        <v>0</v>
      </c>
      <c r="N218" s="425"/>
      <c r="O218" s="424">
        <f>IF(AND(O160&gt;30,O158=8),75,IF(O158&lt;8,0,IF(OR('[1]Calc Data'!G6&gt;=50,'[1]Calc Data'!H6&gt;=50),75,0)))</f>
        <v>0</v>
      </c>
      <c r="P218" s="425"/>
      <c r="Q218" s="424">
        <f>IF(AND(Q160&gt;30,Q158=8),75,IF(Q158&lt;8,0,IF(OR('[1]Calc Data'!H6&gt;=50,'[1]Calc Data'!I6&gt;=50),75,0)))</f>
        <v>0</v>
      </c>
      <c r="R218" s="425"/>
      <c r="S218" s="424">
        <f>IF(AND(S160&gt;30,S158=8),75,IF(S158&lt;8,0,IF(OR('[1]Calc Data'!I6&gt;=50,'[1]Calc Data'!J6&gt;=50),75,0)))</f>
        <v>0</v>
      </c>
      <c r="T218" s="425"/>
    </row>
    <row r="219" spans="3:23">
      <c r="C219" s="423">
        <f>IF(AND(C160&gt;30,C158=6),60,IF(C158&lt;6,0,IF(OR(#REF!&gt;=40,'[1]Calc Data'!C6&gt;=40),60,0)))</f>
        <v>0</v>
      </c>
      <c r="E219" s="424">
        <f>IF(AND(E160&gt;30,E158=6),60,IF(E158&lt;6,0,IF(OR(E168&gt;=40,'[1]Calc Data'!E6&gt;=40),60,0)))</f>
        <v>60</v>
      </c>
      <c r="G219" s="424">
        <f>IF(AND(G160&gt;30,G158=6),60,IF(G158&lt;6,0,IF(OR('[1]Calc Data'!E6&gt;=40,'[1]Calc Data'!F6&gt;=40),60,0)))</f>
        <v>0</v>
      </c>
      <c r="H219" s="425"/>
      <c r="J219" s="426"/>
      <c r="K219" s="424">
        <f>IF(AND(K160&gt;30,K158=6),60,IF(K158&lt;6,0,IF(OR('[1]Calc Data'!E6&gt;=40,'[1]Calc Data'!F6&gt;=40),60,0)))</f>
        <v>0</v>
      </c>
      <c r="L219" s="425"/>
      <c r="M219" s="424">
        <f>IF(AND(M160&gt;30,M158=6),60,IF(M158&lt;6,0,IF(OR('[1]Calc Data'!F6&gt;=40,'[1]Calc Data'!G6&gt;=40),60,0)))</f>
        <v>0</v>
      </c>
      <c r="N219" s="425"/>
      <c r="O219" s="424">
        <f>IF(AND(O160&gt;30,O158=6),60,IF(O158&lt;6,0,IF(OR('[1]Calc Data'!G6&gt;=40,'[1]Calc Data'!H6&gt;=40),60,0)))</f>
        <v>0</v>
      </c>
      <c r="P219" s="425"/>
      <c r="Q219" s="424">
        <f>IF(AND(Q160&gt;30,Q158=6),60,IF(Q158&lt;6,0,IF(OR('[1]Calc Data'!H6&gt;=40,'[1]Calc Data'!I6&gt;=40),60,0)))</f>
        <v>0</v>
      </c>
      <c r="R219" s="425"/>
      <c r="S219" s="424">
        <f>IF(AND(S160&gt;30,S158=6),60,IF(S158&lt;6,0,IF(OR('[1]Calc Data'!I6&gt;=40,'[1]Calc Data'!J6&gt;=40),60,0)))</f>
        <v>0</v>
      </c>
      <c r="T219" s="425"/>
    </row>
    <row r="220" spans="3:23" ht="21" customHeight="1">
      <c r="C220" s="403">
        <f>IF(C158=12,1,0)</f>
        <v>0</v>
      </c>
      <c r="E220" s="404">
        <f>IF(E158=12,1,0)</f>
        <v>1</v>
      </c>
      <c r="G220" s="404">
        <f>IF(G158=12,1,0)</f>
        <v>1</v>
      </c>
      <c r="H220" s="405"/>
      <c r="J220" s="406"/>
      <c r="K220" s="404">
        <f>IF(K158=12,1,0)</f>
        <v>1</v>
      </c>
      <c r="L220" s="405"/>
      <c r="M220" s="404">
        <f>IF(M158=12,1,0)</f>
        <v>1</v>
      </c>
      <c r="N220" s="405"/>
      <c r="O220" s="404">
        <f>IF(O158=12,1,0)</f>
        <v>1</v>
      </c>
      <c r="P220" s="405"/>
      <c r="Q220" s="404">
        <f>IF(Q158=12,1,0)</f>
        <v>1</v>
      </c>
      <c r="R220" s="405"/>
      <c r="S220" s="404">
        <f>IF(S158=12,1,0)</f>
        <v>1</v>
      </c>
      <c r="T220" s="405"/>
    </row>
    <row r="221" spans="3:23" ht="21" customHeight="1">
      <c r="C221" s="403">
        <f>IF(C158=8,1,0)</f>
        <v>0</v>
      </c>
      <c r="E221" s="404">
        <f>IF(E158=8,1,0)</f>
        <v>0</v>
      </c>
      <c r="G221" s="404">
        <f>IF(G158=8,1,0)</f>
        <v>0</v>
      </c>
      <c r="H221" s="405"/>
      <c r="J221" s="406"/>
      <c r="K221" s="404">
        <f>IF(K158=8,1,0)</f>
        <v>0</v>
      </c>
      <c r="L221" s="405"/>
      <c r="M221" s="404">
        <f>IF(M158=8,1,0)</f>
        <v>0</v>
      </c>
      <c r="N221" s="405"/>
      <c r="O221" s="404">
        <f>IF(O158=8,1,0)</f>
        <v>0</v>
      </c>
      <c r="P221" s="405"/>
      <c r="Q221" s="404">
        <f>IF(Q158=8,1,0)</f>
        <v>0</v>
      </c>
      <c r="R221" s="405"/>
      <c r="S221" s="404">
        <f>IF(S158=8,1,0)</f>
        <v>0</v>
      </c>
      <c r="T221" s="405"/>
    </row>
    <row r="222" spans="3:23" ht="21" customHeight="1">
      <c r="C222" s="403">
        <f>IF(C158=6,1,0)</f>
        <v>0</v>
      </c>
      <c r="E222" s="404">
        <f>IF(E158=6,1,0)</f>
        <v>0</v>
      </c>
      <c r="G222" s="404">
        <f>IF(G158=6,1,0)</f>
        <v>0</v>
      </c>
      <c r="H222" s="405"/>
      <c r="J222" s="406"/>
      <c r="K222" s="404">
        <f>IF(K158=6,1,0)</f>
        <v>0</v>
      </c>
      <c r="L222" s="405"/>
      <c r="M222" s="404">
        <f>IF(M158=6,1,0)</f>
        <v>0</v>
      </c>
      <c r="N222" s="405"/>
      <c r="O222" s="404">
        <f>IF(O158=6,1,0)</f>
        <v>0</v>
      </c>
      <c r="P222" s="405"/>
      <c r="Q222" s="404">
        <f>IF(Q158=6,1,0)</f>
        <v>0</v>
      </c>
      <c r="R222" s="405"/>
      <c r="S222" s="404">
        <f>IF(S158=6,1,0)</f>
        <v>0</v>
      </c>
      <c r="T222" s="405"/>
    </row>
    <row r="223" spans="3:23">
      <c r="C223" s="419" t="str">
        <f>IF(C159&gt;300,"Yes","No")</f>
        <v>No</v>
      </c>
      <c r="E223" s="420" t="str">
        <f>IF(E159&gt;300,"Yes","No")</f>
        <v>No</v>
      </c>
      <c r="G223" s="420" t="str">
        <f>IF(G159&gt;300,"Yes","No")</f>
        <v>No</v>
      </c>
      <c r="H223" s="421"/>
      <c r="J223" s="422"/>
      <c r="K223" s="420" t="str">
        <f>IF(K159&gt;300,"Yes","No")</f>
        <v>No</v>
      </c>
      <c r="L223" s="421"/>
      <c r="M223" s="420" t="str">
        <f>IF(M159&gt;300,"Yes","No")</f>
        <v>No</v>
      </c>
      <c r="N223" s="421"/>
      <c r="O223" s="420" t="str">
        <f>IF(O159&gt;300,"Yes","No")</f>
        <v>No</v>
      </c>
      <c r="P223" s="421"/>
      <c r="Q223" s="420" t="str">
        <f>IF(Q159&gt;300,"Yes","No")</f>
        <v>No</v>
      </c>
      <c r="R223" s="421"/>
      <c r="S223" s="420" t="s">
        <v>497</v>
      </c>
      <c r="T223" s="421"/>
    </row>
    <row r="224" spans="3:23">
      <c r="C224" s="419" t="str">
        <f>IF(C160&gt;30,"Yes","No")</f>
        <v>No</v>
      </c>
      <c r="E224" s="420" t="str">
        <f>IF(E160&gt;30,"Yes","No")</f>
        <v>No</v>
      </c>
      <c r="G224" s="420" t="str">
        <f>IF(G160&gt;30,"Yes","No")</f>
        <v>No</v>
      </c>
      <c r="H224" s="421"/>
      <c r="J224" s="422"/>
      <c r="K224" s="420" t="str">
        <f>IF(K160&gt;30,"Yes","No")</f>
        <v>No</v>
      </c>
      <c r="L224" s="421"/>
      <c r="M224" s="420" t="str">
        <f>IF(M160&gt;30,"Yes","No")</f>
        <v>No</v>
      </c>
      <c r="N224" s="421"/>
      <c r="O224" s="420" t="str">
        <f>IF(O160&gt;30,"Yes","No")</f>
        <v>No</v>
      </c>
      <c r="P224" s="421"/>
      <c r="Q224" s="420" t="str">
        <f>IF(Q160&gt;30,"Yes","No")</f>
        <v>No</v>
      </c>
      <c r="R224" s="421"/>
      <c r="S224" s="420" t="s">
        <v>497</v>
      </c>
      <c r="T224" s="421"/>
    </row>
    <row r="253" ht="12" customHeight="1"/>
    <row r="264" spans="25:25">
      <c r="Y264" s="427"/>
    </row>
    <row r="265" spans="25:25">
      <c r="Y265" s="427"/>
    </row>
    <row r="266" spans="25:25">
      <c r="Y266" s="427"/>
    </row>
    <row r="267" spans="25:25">
      <c r="Y267" s="427"/>
    </row>
    <row r="268" spans="25:25">
      <c r="Y268" s="427"/>
    </row>
    <row r="269" spans="25:25">
      <c r="Y269" s="427"/>
    </row>
    <row r="270" spans="25:25">
      <c r="Y270" s="427"/>
    </row>
    <row r="271" spans="25:25">
      <c r="Y271" s="427"/>
    </row>
    <row r="272" spans="25:25">
      <c r="Y272" s="427"/>
    </row>
    <row r="273" spans="25:25">
      <c r="Y273" s="427"/>
    </row>
    <row r="274" spans="25:25">
      <c r="Y274" s="427"/>
    </row>
    <row r="275" spans="25:25">
      <c r="Y275" s="427"/>
    </row>
    <row r="276" spans="25:25">
      <c r="Y276" s="427"/>
    </row>
    <row r="277" spans="25:25">
      <c r="Y277" s="427"/>
    </row>
    <row r="278" spans="25:25">
      <c r="Y278" s="427"/>
    </row>
    <row r="279" spans="25:25">
      <c r="Y279" s="427"/>
    </row>
    <row r="280" spans="25:25">
      <c r="Y280" s="427"/>
    </row>
    <row r="281" spans="25:25">
      <c r="Y281" s="427"/>
    </row>
    <row r="282" spans="25:25">
      <c r="Y282" s="427"/>
    </row>
    <row r="283" spans="25:25">
      <c r="Y283" s="427"/>
    </row>
    <row r="284" spans="25:25">
      <c r="Y284" s="427"/>
    </row>
    <row r="285" spans="25:25">
      <c r="Y285" s="427"/>
    </row>
    <row r="286" spans="25:25">
      <c r="Y286" s="427"/>
    </row>
    <row r="287" spans="25:25">
      <c r="Y287" s="427"/>
    </row>
    <row r="288" spans="25:25">
      <c r="Y288" s="427"/>
    </row>
    <row r="289" spans="2:27">
      <c r="Y289" s="427"/>
    </row>
    <row r="290" spans="2:27">
      <c r="Y290" s="427"/>
    </row>
    <row r="291" spans="2:27">
      <c r="Y291" s="427"/>
    </row>
    <row r="292" spans="2:27">
      <c r="Y292" s="427"/>
    </row>
    <row r="293" spans="2:27">
      <c r="B293" s="111"/>
      <c r="Y293" s="427"/>
    </row>
    <row r="294" spans="2:27">
      <c r="Y294" s="427"/>
    </row>
    <row r="295" spans="2:27">
      <c r="Y295" s="427"/>
    </row>
    <row r="296" spans="2:27">
      <c r="Y296" s="427"/>
      <c r="AA296" s="428"/>
    </row>
    <row r="297" spans="2:27">
      <c r="Y297" s="427"/>
    </row>
    <row r="298" spans="2:27">
      <c r="Y298" s="427"/>
      <c r="AA298" s="428"/>
    </row>
    <row r="299" spans="2:27">
      <c r="Y299" s="427"/>
      <c r="AA299" s="428"/>
    </row>
    <row r="300" spans="2:27">
      <c r="Y300" s="427"/>
      <c r="AA300" s="428"/>
    </row>
    <row r="301" spans="2:27">
      <c r="Y301" s="427"/>
      <c r="AA301" s="428"/>
    </row>
    <row r="303" spans="2:27">
      <c r="Y303" s="429"/>
    </row>
    <row r="304" spans="2:27">
      <c r="Y304" s="427"/>
      <c r="AA304" s="428"/>
    </row>
    <row r="305" spans="25:28">
      <c r="Y305" s="427"/>
      <c r="AA305" s="428"/>
    </row>
    <row r="306" spans="25:28">
      <c r="Y306" s="427"/>
      <c r="AA306" s="428"/>
    </row>
    <row r="307" spans="25:28">
      <c r="Y307" s="429"/>
      <c r="AA307" s="428"/>
    </row>
    <row r="308" spans="25:28">
      <c r="Y308" s="427"/>
    </row>
    <row r="309" spans="25:28">
      <c r="Y309" s="427"/>
      <c r="AA309" s="428"/>
      <c r="AB309" s="427"/>
    </row>
    <row r="310" spans="25:28">
      <c r="Y310" s="427"/>
      <c r="AA310" s="428"/>
    </row>
    <row r="311" spans="25:28">
      <c r="Y311" s="427"/>
      <c r="AA311" s="428"/>
    </row>
    <row r="320" spans="25:28">
      <c r="Y320" s="427"/>
      <c r="AA320" s="428"/>
    </row>
    <row r="321" spans="3:27">
      <c r="Y321" s="427"/>
      <c r="AA321" s="428"/>
    </row>
    <row r="322" spans="3:27">
      <c r="Y322" s="427"/>
      <c r="AA322" s="428"/>
    </row>
    <row r="323" spans="3:27">
      <c r="C323" s="430"/>
      <c r="V323" s="128"/>
      <c r="Y323" s="427"/>
      <c r="AA323" s="428"/>
    </row>
    <row r="324" spans="3:27">
      <c r="C324" s="430"/>
      <c r="V324" s="128"/>
      <c r="Y324" s="427"/>
      <c r="AA324" s="428"/>
    </row>
    <row r="325" spans="3:27">
      <c r="C325" s="430"/>
      <c r="V325" s="128"/>
      <c r="Y325" s="429"/>
      <c r="AA325" s="428"/>
    </row>
    <row r="326" spans="3:27">
      <c r="C326" s="430"/>
      <c r="V326" s="128"/>
      <c r="Y326" s="427"/>
      <c r="AA326" s="428"/>
    </row>
    <row r="327" spans="3:27">
      <c r="C327" s="430"/>
      <c r="V327" s="128"/>
    </row>
    <row r="328" spans="3:27">
      <c r="C328" s="430"/>
      <c r="V328" s="128"/>
    </row>
    <row r="329" spans="3:27">
      <c r="C329" s="430"/>
      <c r="V329" s="128"/>
    </row>
    <row r="330" spans="3:27">
      <c r="C330" s="430"/>
      <c r="V330" s="128"/>
    </row>
    <row r="331" spans="3:27">
      <c r="C331" s="430"/>
      <c r="V331" s="128"/>
      <c r="W331" s="431"/>
    </row>
    <row r="332" spans="3:27">
      <c r="C332" s="430"/>
      <c r="V332" s="128"/>
      <c r="AA332" s="428"/>
    </row>
    <row r="333" spans="3:27">
      <c r="C333" s="430"/>
      <c r="V333" s="128"/>
      <c r="W333" s="431"/>
      <c r="AA333" s="428"/>
    </row>
    <row r="334" spans="3:27">
      <c r="C334" s="430"/>
      <c r="V334" s="128"/>
      <c r="Y334" s="427"/>
      <c r="AA334" s="428"/>
    </row>
    <row r="335" spans="3:27">
      <c r="C335" s="430"/>
      <c r="V335" s="128"/>
      <c r="AA335" s="428"/>
    </row>
    <row r="336" spans="3:27">
      <c r="C336" s="430"/>
      <c r="V336" s="128"/>
    </row>
    <row r="337" spans="2:27">
      <c r="C337" s="430"/>
      <c r="V337" s="128"/>
    </row>
    <row r="338" spans="2:27">
      <c r="C338" s="430"/>
      <c r="V338" s="128"/>
    </row>
    <row r="340" spans="2:27">
      <c r="AA340" s="428"/>
    </row>
    <row r="341" spans="2:27">
      <c r="E341" s="432"/>
      <c r="G341" s="432"/>
      <c r="H341" s="433"/>
      <c r="J341" s="434"/>
      <c r="L341" s="433"/>
      <c r="M341" s="432"/>
      <c r="N341" s="433"/>
      <c r="O341" s="432"/>
      <c r="P341" s="433"/>
      <c r="Q341" s="432"/>
      <c r="R341" s="433"/>
      <c r="S341" s="432"/>
      <c r="T341" s="433"/>
      <c r="U341" s="432"/>
      <c r="V341" s="435"/>
      <c r="W341" s="432"/>
      <c r="AA341" s="428"/>
    </row>
    <row r="342" spans="2:27">
      <c r="Y342" s="427"/>
      <c r="AA342" s="428"/>
    </row>
    <row r="343" spans="2:27">
      <c r="AA343" s="428"/>
    </row>
    <row r="344" spans="2:27">
      <c r="AA344" s="428"/>
    </row>
    <row r="345" spans="2:27">
      <c r="AA345" s="428"/>
    </row>
    <row r="346" spans="2:27">
      <c r="Y346" s="427"/>
      <c r="AA346" s="428"/>
    </row>
    <row r="347" spans="2:27">
      <c r="Y347" s="427"/>
      <c r="AA347" s="428"/>
    </row>
    <row r="348" spans="2:27">
      <c r="B348" s="436"/>
      <c r="Y348" s="427"/>
      <c r="AA348" s="428"/>
    </row>
    <row r="349" spans="2:27">
      <c r="B349" s="436"/>
      <c r="Y349" s="427"/>
      <c r="AA349" s="428"/>
    </row>
    <row r="350" spans="2:27">
      <c r="B350" s="436"/>
      <c r="Y350" s="427"/>
      <c r="AA350" s="428"/>
    </row>
    <row r="351" spans="2:27">
      <c r="B351" s="436"/>
      <c r="Y351" s="427"/>
      <c r="AA351" s="428"/>
    </row>
    <row r="352" spans="2:27">
      <c r="Y352" s="427"/>
      <c r="AA352" s="428"/>
    </row>
    <row r="353" spans="3:25">
      <c r="V353" s="128"/>
      <c r="Y353" s="427"/>
    </row>
    <row r="354" spans="3:25">
      <c r="V354" s="128"/>
      <c r="Y354" s="427"/>
    </row>
    <row r="355" spans="3:25">
      <c r="C355" s="437"/>
      <c r="E355" s="438"/>
      <c r="G355" s="438"/>
      <c r="H355" s="439"/>
      <c r="J355" s="440"/>
      <c r="L355" s="439"/>
      <c r="M355" s="438"/>
      <c r="N355" s="439"/>
      <c r="O355" s="438"/>
      <c r="P355" s="439"/>
      <c r="Q355" s="438"/>
      <c r="R355" s="439"/>
      <c r="S355" s="438"/>
      <c r="T355" s="439"/>
      <c r="V355" s="128"/>
      <c r="Y355" s="427"/>
    </row>
    <row r="356" spans="3:25">
      <c r="C356" s="437"/>
      <c r="E356" s="438"/>
      <c r="G356" s="438"/>
      <c r="H356" s="439"/>
      <c r="J356" s="440"/>
      <c r="L356" s="439"/>
      <c r="M356" s="438"/>
      <c r="N356" s="439"/>
      <c r="O356" s="438"/>
      <c r="P356" s="439"/>
      <c r="Q356" s="438"/>
      <c r="R356" s="439"/>
      <c r="S356" s="438"/>
      <c r="T356" s="439"/>
      <c r="V356" s="128"/>
      <c r="Y356" s="427"/>
    </row>
    <row r="357" spans="3:25">
      <c r="C357" s="437"/>
      <c r="E357" s="438"/>
      <c r="G357" s="438"/>
      <c r="H357" s="439"/>
      <c r="J357" s="440"/>
      <c r="L357" s="439"/>
      <c r="M357" s="438"/>
      <c r="N357" s="439"/>
      <c r="O357" s="438"/>
      <c r="P357" s="439"/>
      <c r="Q357" s="438"/>
      <c r="R357" s="439"/>
      <c r="S357" s="438"/>
      <c r="T357" s="439"/>
      <c r="U357" s="438"/>
      <c r="V357" s="441"/>
      <c r="W357" s="438"/>
      <c r="Y357" s="427"/>
    </row>
    <row r="358" spans="3:25">
      <c r="C358" s="437"/>
      <c r="E358" s="438"/>
      <c r="G358" s="438"/>
      <c r="H358" s="439"/>
      <c r="J358" s="440"/>
      <c r="L358" s="439"/>
      <c r="M358" s="438"/>
      <c r="N358" s="439"/>
      <c r="O358" s="438"/>
      <c r="P358" s="439"/>
      <c r="Q358" s="438"/>
      <c r="R358" s="439"/>
      <c r="S358" s="438"/>
      <c r="T358" s="439"/>
      <c r="V358" s="128"/>
      <c r="Y358" s="427"/>
    </row>
    <row r="359" spans="3:25">
      <c r="C359" s="437"/>
      <c r="E359" s="438"/>
      <c r="G359" s="438"/>
      <c r="H359" s="439"/>
      <c r="J359" s="440"/>
      <c r="L359" s="439"/>
      <c r="M359" s="438"/>
      <c r="N359" s="439"/>
      <c r="O359" s="438"/>
      <c r="P359" s="439"/>
      <c r="Q359" s="438"/>
      <c r="R359" s="439"/>
      <c r="S359" s="438"/>
      <c r="T359" s="439"/>
      <c r="V359" s="128"/>
      <c r="Y359" s="427"/>
    </row>
    <row r="360" spans="3:25">
      <c r="C360" s="437"/>
      <c r="E360" s="438"/>
      <c r="G360" s="438"/>
      <c r="H360" s="439"/>
      <c r="J360" s="440"/>
      <c r="L360" s="439"/>
      <c r="M360" s="438"/>
      <c r="N360" s="439"/>
      <c r="O360" s="438"/>
      <c r="P360" s="439"/>
      <c r="Q360" s="438"/>
      <c r="R360" s="439"/>
      <c r="S360" s="438"/>
      <c r="T360" s="439"/>
      <c r="V360" s="128"/>
      <c r="Y360" s="427"/>
    </row>
    <row r="361" spans="3:25">
      <c r="C361" s="437"/>
      <c r="E361" s="438"/>
      <c r="G361" s="438"/>
      <c r="H361" s="439"/>
      <c r="J361" s="440"/>
      <c r="L361" s="439"/>
      <c r="M361" s="438"/>
      <c r="N361" s="439"/>
      <c r="O361" s="438"/>
      <c r="P361" s="439"/>
      <c r="Q361" s="438"/>
      <c r="R361" s="439"/>
      <c r="S361" s="438"/>
      <c r="T361" s="439"/>
      <c r="V361" s="128"/>
      <c r="W361" s="427"/>
      <c r="Y361" s="427"/>
    </row>
    <row r="362" spans="3:25">
      <c r="C362" s="437"/>
      <c r="E362" s="438"/>
      <c r="G362" s="438"/>
      <c r="H362" s="439"/>
      <c r="J362" s="440"/>
      <c r="L362" s="439"/>
      <c r="M362" s="438"/>
      <c r="N362" s="439"/>
      <c r="O362" s="438"/>
      <c r="P362" s="439"/>
      <c r="Q362" s="438"/>
      <c r="R362" s="439"/>
      <c r="S362" s="438"/>
      <c r="T362" s="439"/>
      <c r="V362" s="128"/>
      <c r="W362" s="427"/>
      <c r="Y362" s="427"/>
    </row>
    <row r="363" spans="3:25">
      <c r="C363" s="437"/>
      <c r="E363" s="438"/>
      <c r="G363" s="438"/>
      <c r="H363" s="439"/>
      <c r="J363" s="440"/>
      <c r="L363" s="439"/>
      <c r="M363" s="438"/>
      <c r="N363" s="439"/>
      <c r="O363" s="438"/>
      <c r="P363" s="439"/>
      <c r="Q363" s="438"/>
      <c r="R363" s="439"/>
      <c r="S363" s="438"/>
      <c r="T363" s="439"/>
      <c r="V363" s="128"/>
      <c r="W363" s="427"/>
      <c r="Y363" s="427"/>
    </row>
    <row r="364" spans="3:25">
      <c r="C364" s="437"/>
      <c r="E364" s="438"/>
      <c r="G364" s="438"/>
      <c r="H364" s="439"/>
      <c r="J364" s="440"/>
      <c r="L364" s="439"/>
      <c r="M364" s="438"/>
      <c r="N364" s="439"/>
      <c r="O364" s="438"/>
      <c r="P364" s="439"/>
      <c r="Q364" s="438"/>
      <c r="R364" s="439"/>
      <c r="S364" s="438"/>
      <c r="T364" s="439"/>
      <c r="V364" s="128"/>
      <c r="W364" s="427"/>
    </row>
    <row r="365" spans="3:25">
      <c r="C365" s="437"/>
      <c r="E365" s="438"/>
      <c r="G365" s="438"/>
      <c r="H365" s="439"/>
      <c r="J365" s="440"/>
      <c r="L365" s="439"/>
      <c r="M365" s="438"/>
      <c r="N365" s="439"/>
      <c r="O365" s="438"/>
      <c r="P365" s="439"/>
      <c r="Q365" s="438"/>
      <c r="R365" s="439"/>
      <c r="S365" s="438"/>
      <c r="T365" s="439"/>
      <c r="V365" s="128"/>
    </row>
    <row r="366" spans="3:25">
      <c r="C366" s="437"/>
      <c r="E366" s="438"/>
      <c r="G366" s="438"/>
      <c r="H366" s="439"/>
      <c r="J366" s="440"/>
      <c r="L366" s="439"/>
      <c r="M366" s="438"/>
      <c r="N366" s="439"/>
      <c r="O366" s="438"/>
      <c r="P366" s="439"/>
      <c r="Q366" s="438"/>
      <c r="R366" s="439"/>
      <c r="S366" s="438"/>
      <c r="T366" s="439"/>
      <c r="V366" s="128"/>
    </row>
    <row r="367" spans="3:25">
      <c r="C367" s="437"/>
      <c r="E367" s="438"/>
      <c r="G367" s="438"/>
      <c r="H367" s="439"/>
      <c r="J367" s="440"/>
      <c r="L367" s="439"/>
      <c r="M367" s="438"/>
      <c r="N367" s="439"/>
      <c r="O367" s="438"/>
      <c r="P367" s="439"/>
      <c r="Q367" s="438"/>
      <c r="R367" s="439"/>
      <c r="S367" s="438"/>
      <c r="T367" s="439"/>
      <c r="V367" s="128"/>
    </row>
    <row r="368" spans="3:25">
      <c r="C368" s="437"/>
      <c r="E368" s="438"/>
      <c r="G368" s="438"/>
      <c r="H368" s="439"/>
      <c r="J368" s="440"/>
      <c r="L368" s="439"/>
      <c r="M368" s="438"/>
      <c r="N368" s="439"/>
      <c r="O368" s="438"/>
      <c r="P368" s="439"/>
      <c r="Q368" s="438"/>
      <c r="R368" s="439"/>
      <c r="S368" s="438"/>
      <c r="T368" s="439"/>
      <c r="V368" s="128"/>
    </row>
    <row r="369" spans="3:28">
      <c r="C369" s="437"/>
      <c r="E369" s="438"/>
      <c r="G369" s="438"/>
      <c r="H369" s="439"/>
      <c r="J369" s="440"/>
      <c r="L369" s="439"/>
      <c r="M369" s="438"/>
      <c r="N369" s="439"/>
      <c r="O369" s="438"/>
      <c r="P369" s="439"/>
      <c r="Q369" s="438"/>
      <c r="R369" s="439"/>
      <c r="S369" s="438"/>
      <c r="T369" s="439"/>
      <c r="U369" s="438"/>
      <c r="V369" s="438"/>
      <c r="W369" s="427"/>
      <c r="Y369" s="427"/>
      <c r="AA369" s="428"/>
    </row>
    <row r="370" spans="3:28">
      <c r="C370" s="437"/>
      <c r="E370" s="438"/>
      <c r="G370" s="438"/>
      <c r="H370" s="439"/>
      <c r="J370" s="440"/>
      <c r="L370" s="439"/>
      <c r="M370" s="438"/>
      <c r="N370" s="439"/>
      <c r="O370" s="438"/>
      <c r="P370" s="439"/>
      <c r="Q370" s="438"/>
      <c r="R370" s="439"/>
      <c r="S370" s="438"/>
      <c r="T370" s="439"/>
      <c r="U370" s="438"/>
      <c r="V370" s="438"/>
      <c r="Y370" s="427"/>
      <c r="AA370" s="428"/>
    </row>
    <row r="371" spans="3:28">
      <c r="Y371" s="427"/>
    </row>
    <row r="372" spans="3:28">
      <c r="C372" s="442"/>
      <c r="E372" s="427"/>
      <c r="G372" s="427"/>
      <c r="H372" s="443"/>
      <c r="J372" s="444"/>
      <c r="L372" s="443"/>
      <c r="M372" s="427"/>
      <c r="N372" s="443"/>
      <c r="O372" s="427"/>
      <c r="P372" s="443"/>
      <c r="Q372" s="427"/>
      <c r="R372" s="443"/>
      <c r="S372" s="427"/>
      <c r="T372" s="443"/>
      <c r="U372" s="438"/>
      <c r="V372" s="438"/>
      <c r="W372" s="438"/>
      <c r="Y372" s="427"/>
    </row>
    <row r="373" spans="3:28">
      <c r="C373" s="430"/>
      <c r="E373" s="427"/>
      <c r="G373" s="427"/>
      <c r="H373" s="443"/>
      <c r="J373" s="444"/>
      <c r="L373" s="443"/>
      <c r="M373" s="427"/>
      <c r="N373" s="443"/>
      <c r="O373" s="427"/>
      <c r="P373" s="443"/>
      <c r="Q373" s="427"/>
      <c r="R373" s="443"/>
      <c r="S373" s="427"/>
      <c r="T373" s="443"/>
      <c r="U373" s="438"/>
      <c r="V373" s="438"/>
      <c r="W373" s="438"/>
      <c r="Y373" s="429"/>
    </row>
    <row r="374" spans="3:28">
      <c r="C374" s="430"/>
      <c r="E374" s="427"/>
      <c r="G374" s="427"/>
      <c r="H374" s="443"/>
      <c r="J374" s="444"/>
      <c r="L374" s="443"/>
      <c r="M374" s="427"/>
      <c r="N374" s="443"/>
      <c r="O374" s="427"/>
      <c r="P374" s="443"/>
      <c r="Q374" s="427"/>
      <c r="R374" s="443"/>
      <c r="S374" s="427"/>
      <c r="T374" s="443"/>
      <c r="U374" s="438"/>
      <c r="V374" s="438"/>
      <c r="W374" s="438"/>
      <c r="Y374" s="429"/>
    </row>
    <row r="375" spans="3:28">
      <c r="C375" s="430"/>
      <c r="E375" s="427"/>
      <c r="G375" s="427"/>
      <c r="H375" s="443"/>
      <c r="J375" s="444"/>
      <c r="L375" s="443"/>
      <c r="M375" s="427"/>
      <c r="N375" s="443"/>
      <c r="O375" s="427"/>
      <c r="P375" s="443"/>
      <c r="Q375" s="427"/>
      <c r="R375" s="443"/>
      <c r="S375" s="427"/>
      <c r="T375" s="443"/>
      <c r="U375" s="438"/>
      <c r="V375" s="438"/>
      <c r="W375" s="438"/>
      <c r="X375" s="427"/>
      <c r="Y375" s="427"/>
    </row>
    <row r="376" spans="3:28">
      <c r="C376" s="430"/>
      <c r="E376" s="427"/>
      <c r="G376" s="427"/>
      <c r="H376" s="443"/>
      <c r="J376" s="444"/>
      <c r="L376" s="443"/>
      <c r="M376" s="427"/>
      <c r="N376" s="443"/>
      <c r="O376" s="427"/>
      <c r="P376" s="443"/>
      <c r="Q376" s="427"/>
      <c r="R376" s="443"/>
      <c r="S376" s="427"/>
      <c r="T376" s="443"/>
      <c r="U376" s="438"/>
      <c r="V376" s="438"/>
      <c r="W376" s="438"/>
      <c r="X376" s="427"/>
      <c r="Y376" s="427"/>
    </row>
    <row r="377" spans="3:28">
      <c r="C377" s="430"/>
      <c r="E377" s="427"/>
      <c r="G377" s="427"/>
      <c r="H377" s="443"/>
      <c r="J377" s="444"/>
      <c r="L377" s="443"/>
      <c r="M377" s="427"/>
      <c r="N377" s="443"/>
      <c r="O377" s="427"/>
      <c r="P377" s="443"/>
      <c r="Q377" s="427"/>
      <c r="R377" s="443"/>
      <c r="S377" s="427"/>
      <c r="T377" s="443"/>
      <c r="U377" s="438"/>
      <c r="V377" s="438"/>
      <c r="W377" s="438"/>
      <c r="Y377" s="445"/>
      <c r="AB377" s="446" t="s">
        <v>498</v>
      </c>
    </row>
    <row r="378" spans="3:28">
      <c r="C378" s="430"/>
      <c r="E378" s="427"/>
      <c r="G378" s="427"/>
      <c r="H378" s="443"/>
      <c r="J378" s="444"/>
      <c r="L378" s="443"/>
      <c r="M378" s="427"/>
      <c r="N378" s="443"/>
      <c r="O378" s="427"/>
      <c r="P378" s="443"/>
      <c r="Q378" s="427"/>
      <c r="R378" s="443"/>
      <c r="S378" s="427"/>
      <c r="T378" s="443"/>
      <c r="U378" s="438"/>
      <c r="V378" s="438"/>
      <c r="W378" s="438"/>
      <c r="Y378" s="436"/>
      <c r="AB378" s="436" t="e">
        <f>IF(OR(#REF!&gt;129.999,#REF!&lt;12),0,IF(OR(#REF!&gt;90,#REF!&gt;90),130,IF(AND(OR(#REF!&lt;90,#REF!&lt;90),#REF!&gt;30),130,0)))</f>
        <v>#REF!</v>
      </c>
    </row>
    <row r="379" spans="3:28">
      <c r="C379" s="430"/>
      <c r="E379" s="427"/>
      <c r="G379" s="427"/>
      <c r="H379" s="443"/>
      <c r="J379" s="444"/>
      <c r="L379" s="443"/>
      <c r="M379" s="427"/>
      <c r="N379" s="443"/>
      <c r="O379" s="427"/>
      <c r="P379" s="443"/>
      <c r="Q379" s="427"/>
      <c r="R379" s="443"/>
      <c r="S379" s="427"/>
      <c r="T379" s="443"/>
      <c r="U379" s="438"/>
      <c r="V379" s="438"/>
      <c r="W379" s="438"/>
      <c r="Y379" s="447"/>
      <c r="AB379" s="447" t="e">
        <f>IF(OR(#REF!&gt;129.999,#REF!&lt;8),0,IF(OR(#REF!&gt;50,#REF!&gt;50),75,IF(AND(OR(#REF!&lt;50,#REF!&lt;50),#REF!&gt;30),75,0)))</f>
        <v>#REF!</v>
      </c>
    </row>
    <row r="380" spans="3:28">
      <c r="C380" s="430"/>
      <c r="E380" s="427"/>
      <c r="G380" s="427"/>
      <c r="H380" s="443"/>
      <c r="J380" s="444"/>
      <c r="L380" s="443"/>
      <c r="M380" s="427"/>
      <c r="N380" s="443"/>
      <c r="O380" s="427"/>
      <c r="P380" s="443"/>
      <c r="Q380" s="427"/>
      <c r="R380" s="443"/>
      <c r="S380" s="427"/>
      <c r="T380" s="443"/>
      <c r="U380" s="438"/>
      <c r="V380" s="438"/>
      <c r="W380" s="438"/>
      <c r="X380" s="427"/>
      <c r="Y380" s="447"/>
      <c r="AB380" s="447" t="e">
        <f>IF(OR(#REF!&gt;129.999,#REF!&lt;6),0,IF(OR(#REF!&gt;40,#REF!&gt;40),60,IF(AND(OR(#REF!&lt;40,#REF!&lt;40),#REF!&gt;30),60,0)))</f>
        <v>#REF!</v>
      </c>
    </row>
    <row r="381" spans="3:28">
      <c r="C381" s="430"/>
      <c r="E381" s="427"/>
      <c r="G381" s="427"/>
      <c r="H381" s="443"/>
      <c r="J381" s="444"/>
      <c r="L381" s="443"/>
      <c r="M381" s="427"/>
      <c r="N381" s="443"/>
      <c r="O381" s="427"/>
      <c r="P381" s="443"/>
      <c r="Q381" s="427"/>
      <c r="R381" s="443"/>
      <c r="S381" s="427"/>
      <c r="T381" s="443"/>
      <c r="U381" s="427"/>
      <c r="V381" s="448"/>
      <c r="W381" s="427"/>
      <c r="X381" s="427"/>
      <c r="Y381" s="427"/>
    </row>
    <row r="382" spans="3:28">
      <c r="C382" s="430"/>
      <c r="E382" s="427"/>
      <c r="G382" s="427"/>
      <c r="H382" s="443"/>
      <c r="J382" s="444"/>
      <c r="L382" s="443"/>
      <c r="M382" s="427"/>
      <c r="N382" s="443"/>
      <c r="O382" s="427"/>
      <c r="P382" s="443"/>
      <c r="Q382" s="427"/>
      <c r="R382" s="443"/>
      <c r="S382" s="427"/>
      <c r="T382" s="443"/>
      <c r="U382" s="427"/>
      <c r="V382" s="448"/>
      <c r="W382" s="427"/>
      <c r="X382" s="427"/>
      <c r="Y382" s="427"/>
    </row>
    <row r="383" spans="3:28">
      <c r="C383" s="449"/>
      <c r="E383" s="427"/>
      <c r="G383" s="427"/>
      <c r="H383" s="443"/>
      <c r="J383" s="444"/>
      <c r="L383" s="443"/>
      <c r="M383" s="427"/>
      <c r="N383" s="443"/>
      <c r="O383" s="427"/>
      <c r="P383" s="443"/>
      <c r="Q383" s="427"/>
      <c r="R383" s="443"/>
      <c r="S383" s="427"/>
      <c r="T383" s="443"/>
      <c r="U383" s="427"/>
      <c r="V383" s="448"/>
      <c r="W383" s="427"/>
      <c r="X383" s="427"/>
      <c r="Y383" s="427"/>
    </row>
    <row r="384" spans="3:28">
      <c r="C384" s="449"/>
      <c r="E384" s="427"/>
      <c r="G384" s="427"/>
      <c r="H384" s="443"/>
      <c r="J384" s="444"/>
      <c r="L384" s="443"/>
      <c r="M384" s="427"/>
      <c r="N384" s="443"/>
      <c r="O384" s="427"/>
      <c r="P384" s="443"/>
      <c r="Q384" s="427"/>
      <c r="R384" s="443"/>
      <c r="S384" s="427"/>
      <c r="T384" s="443"/>
      <c r="U384" s="427"/>
      <c r="V384" s="448"/>
      <c r="W384" s="427"/>
      <c r="X384" s="427"/>
      <c r="Y384" s="436"/>
    </row>
    <row r="385" spans="3:25">
      <c r="C385" s="449"/>
      <c r="E385" s="427"/>
      <c r="G385" s="427"/>
      <c r="H385" s="443"/>
      <c r="J385" s="444"/>
      <c r="L385" s="443"/>
      <c r="M385" s="427"/>
      <c r="N385" s="443"/>
      <c r="O385" s="427"/>
      <c r="P385" s="443"/>
      <c r="Q385" s="427"/>
      <c r="R385" s="443"/>
      <c r="S385" s="427"/>
      <c r="T385" s="443"/>
      <c r="U385" s="427"/>
      <c r="V385" s="448"/>
      <c r="W385" s="427"/>
      <c r="X385" s="427"/>
      <c r="Y385" s="436"/>
    </row>
    <row r="386" spans="3:25">
      <c r="C386" s="449"/>
      <c r="E386" s="427"/>
      <c r="G386" s="427"/>
      <c r="H386" s="443"/>
      <c r="J386" s="444"/>
      <c r="L386" s="443"/>
      <c r="M386" s="427"/>
      <c r="N386" s="443"/>
      <c r="O386" s="427"/>
      <c r="P386" s="443"/>
      <c r="Q386" s="427"/>
      <c r="R386" s="443"/>
      <c r="S386" s="427"/>
      <c r="T386" s="443"/>
      <c r="U386" s="427"/>
      <c r="V386" s="448"/>
      <c r="W386" s="427"/>
      <c r="X386" s="427"/>
      <c r="Y386" s="436"/>
    </row>
    <row r="387" spans="3:25">
      <c r="C387" s="449"/>
      <c r="E387" s="427"/>
      <c r="G387" s="427"/>
      <c r="H387" s="443"/>
      <c r="J387" s="444"/>
      <c r="L387" s="443"/>
      <c r="M387" s="427"/>
      <c r="N387" s="443"/>
      <c r="O387" s="427"/>
      <c r="P387" s="443"/>
      <c r="Q387" s="427"/>
      <c r="R387" s="443"/>
      <c r="S387" s="427"/>
      <c r="T387" s="443"/>
      <c r="U387" s="427"/>
      <c r="V387" s="448"/>
      <c r="W387" s="427"/>
      <c r="X387" s="427"/>
      <c r="Y387" s="427"/>
    </row>
    <row r="388" spans="3:25">
      <c r="C388" s="449"/>
      <c r="E388" s="427"/>
      <c r="G388" s="427"/>
      <c r="H388" s="443"/>
      <c r="J388" s="444"/>
      <c r="L388" s="443"/>
      <c r="M388" s="427"/>
      <c r="N388" s="443"/>
      <c r="O388" s="427"/>
      <c r="P388" s="443"/>
      <c r="Q388" s="427"/>
      <c r="R388" s="443"/>
      <c r="S388" s="427"/>
      <c r="T388" s="443"/>
      <c r="U388" s="427"/>
      <c r="V388" s="448"/>
      <c r="W388" s="427"/>
      <c r="X388" s="427"/>
      <c r="Y388" s="427"/>
    </row>
    <row r="389" spans="3:25">
      <c r="C389" s="449"/>
      <c r="E389" s="427"/>
      <c r="G389" s="427"/>
      <c r="H389" s="443"/>
      <c r="J389" s="444"/>
      <c r="L389" s="443"/>
      <c r="M389" s="427"/>
      <c r="N389" s="443"/>
      <c r="O389" s="427"/>
      <c r="P389" s="443"/>
      <c r="Q389" s="427"/>
      <c r="R389" s="443"/>
      <c r="S389" s="427"/>
      <c r="T389" s="443"/>
      <c r="U389" s="427"/>
      <c r="V389" s="448"/>
      <c r="W389" s="427"/>
      <c r="X389" s="427"/>
      <c r="Y389" s="427"/>
    </row>
    <row r="390" spans="3:25">
      <c r="C390" s="449"/>
      <c r="E390" s="427"/>
      <c r="G390" s="427"/>
      <c r="H390" s="443"/>
      <c r="J390" s="444"/>
      <c r="L390" s="443"/>
      <c r="M390" s="427"/>
      <c r="N390" s="443"/>
      <c r="O390" s="427"/>
      <c r="P390" s="443"/>
      <c r="Q390" s="427"/>
      <c r="R390" s="443"/>
      <c r="S390" s="427"/>
      <c r="T390" s="443"/>
      <c r="U390" s="427"/>
      <c r="V390" s="448"/>
      <c r="W390" s="427"/>
      <c r="X390" s="427"/>
      <c r="Y390" s="427"/>
    </row>
    <row r="391" spans="3:25">
      <c r="C391" s="449"/>
      <c r="E391" s="427"/>
      <c r="G391" s="427"/>
      <c r="H391" s="443"/>
      <c r="J391" s="444"/>
      <c r="L391" s="443"/>
      <c r="M391" s="427"/>
      <c r="N391" s="443"/>
      <c r="O391" s="427"/>
      <c r="P391" s="443"/>
      <c r="Q391" s="427"/>
      <c r="R391" s="443"/>
      <c r="S391" s="427"/>
      <c r="T391" s="443"/>
      <c r="U391" s="427"/>
      <c r="V391" s="448"/>
      <c r="W391" s="427"/>
      <c r="X391" s="427"/>
      <c r="Y391" s="427"/>
    </row>
    <row r="392" spans="3:25">
      <c r="C392" s="449"/>
      <c r="E392" s="427"/>
      <c r="G392" s="427"/>
      <c r="H392" s="443"/>
      <c r="J392" s="444"/>
      <c r="L392" s="443"/>
      <c r="M392" s="427"/>
      <c r="N392" s="443"/>
      <c r="O392" s="427"/>
      <c r="P392" s="443"/>
      <c r="Q392" s="427"/>
      <c r="R392" s="443"/>
      <c r="S392" s="427"/>
      <c r="T392" s="443"/>
      <c r="U392" s="427"/>
      <c r="V392" s="448"/>
      <c r="W392" s="427"/>
      <c r="X392" s="427"/>
      <c r="Y392" s="427"/>
    </row>
    <row r="393" spans="3:25">
      <c r="C393" s="449"/>
      <c r="E393" s="427"/>
      <c r="G393" s="427"/>
      <c r="H393" s="443"/>
      <c r="J393" s="444"/>
      <c r="L393" s="443"/>
      <c r="M393" s="427"/>
      <c r="N393" s="443"/>
      <c r="O393" s="427"/>
      <c r="P393" s="443"/>
      <c r="Q393" s="427"/>
      <c r="R393" s="443"/>
      <c r="S393" s="427"/>
      <c r="T393" s="443"/>
      <c r="U393" s="427"/>
      <c r="V393" s="448"/>
      <c r="W393" s="427"/>
      <c r="X393" s="427"/>
      <c r="Y393" s="427"/>
    </row>
    <row r="394" spans="3:25">
      <c r="X394" s="427"/>
      <c r="Y394" s="427"/>
    </row>
    <row r="395" spans="3:25">
      <c r="X395" s="427"/>
      <c r="Y395" s="427"/>
    </row>
    <row r="396" spans="3:25">
      <c r="X396" s="427"/>
      <c r="Y396" s="427"/>
    </row>
    <row r="397" spans="3:25">
      <c r="X397" s="427"/>
      <c r="Y397" s="427"/>
    </row>
    <row r="398" spans="3:25">
      <c r="X398" s="427"/>
      <c r="Y398" s="427"/>
    </row>
    <row r="399" spans="3:25">
      <c r="X399" s="427"/>
      <c r="Y399" s="427"/>
    </row>
    <row r="400" spans="3:25">
      <c r="X400" s="427"/>
      <c r="Y400" s="427"/>
    </row>
    <row r="401" spans="24:25">
      <c r="X401" s="427"/>
      <c r="Y401" s="427"/>
    </row>
    <row r="402" spans="24:25">
      <c r="X402" s="427"/>
      <c r="Y402" s="427"/>
    </row>
    <row r="403" spans="24:25">
      <c r="X403" s="427"/>
      <c r="Y403" s="427"/>
    </row>
    <row r="404" spans="24:25">
      <c r="X404" s="427"/>
      <c r="Y404" s="427"/>
    </row>
    <row r="405" spans="24:25">
      <c r="X405" s="427"/>
      <c r="Y405" s="427"/>
    </row>
    <row r="406" spans="24:25">
      <c r="X406" s="427"/>
      <c r="Y406" s="427"/>
    </row>
    <row r="407" spans="24:25">
      <c r="X407" s="427"/>
      <c r="Y407" s="427"/>
    </row>
    <row r="408" spans="24:25">
      <c r="X408" s="427"/>
      <c r="Y408" s="427"/>
    </row>
    <row r="409" spans="24:25">
      <c r="X409" s="427"/>
      <c r="Y409" s="427"/>
    </row>
    <row r="410" spans="24:25">
      <c r="X410" s="427"/>
      <c r="Y410" s="427"/>
    </row>
    <row r="411" spans="24:25">
      <c r="X411" s="427"/>
      <c r="Y411" s="427"/>
    </row>
    <row r="412" spans="24:25">
      <c r="X412" s="427"/>
      <c r="Y412" s="427"/>
    </row>
    <row r="413" spans="24:25">
      <c r="X413" s="427"/>
      <c r="Y413" s="427"/>
    </row>
    <row r="414" spans="24:25">
      <c r="X414" s="427"/>
      <c r="Y414" s="427"/>
    </row>
    <row r="415" spans="24:25">
      <c r="X415" s="427"/>
      <c r="Y415" s="427"/>
    </row>
    <row r="416" spans="24:25">
      <c r="X416" s="427"/>
      <c r="Y416" s="427"/>
    </row>
    <row r="417" spans="3:25">
      <c r="X417" s="427"/>
      <c r="Y417" s="427"/>
    </row>
    <row r="418" spans="3:25">
      <c r="X418" s="427"/>
      <c r="Y418" s="427"/>
    </row>
    <row r="419" spans="3:25">
      <c r="X419" s="427"/>
      <c r="Y419" s="427"/>
    </row>
    <row r="420" spans="3:25">
      <c r="X420" s="427"/>
      <c r="Y420" s="427"/>
    </row>
    <row r="421" spans="3:25">
      <c r="X421" s="427"/>
      <c r="Y421" s="427"/>
    </row>
    <row r="422" spans="3:25">
      <c r="X422" s="427"/>
      <c r="Y422" s="427"/>
    </row>
    <row r="423" spans="3:25">
      <c r="X423" s="427"/>
      <c r="Y423" s="427"/>
    </row>
    <row r="424" spans="3:25">
      <c r="X424" s="427"/>
      <c r="Y424" s="427"/>
    </row>
    <row r="425" spans="3:25">
      <c r="X425" s="427"/>
      <c r="Y425" s="427"/>
    </row>
    <row r="426" spans="3:25">
      <c r="X426" s="427"/>
      <c r="Y426" s="427"/>
    </row>
    <row r="427" spans="3:25">
      <c r="X427" s="427"/>
      <c r="Y427" s="427"/>
    </row>
    <row r="428" spans="3:25">
      <c r="X428" s="427"/>
      <c r="Y428" s="427"/>
    </row>
    <row r="429" spans="3:25">
      <c r="X429" s="427"/>
      <c r="Y429" s="427"/>
    </row>
    <row r="430" spans="3:25">
      <c r="X430" s="427"/>
    </row>
    <row r="431" spans="3:25">
      <c r="X431" s="427"/>
    </row>
    <row r="432" spans="3:25">
      <c r="C432" s="450"/>
      <c r="E432" s="451"/>
      <c r="G432" s="451"/>
      <c r="H432" s="452"/>
      <c r="J432" s="453"/>
      <c r="L432" s="452"/>
      <c r="M432" s="451"/>
      <c r="N432" s="452"/>
      <c r="O432" s="451"/>
      <c r="P432" s="452"/>
      <c r="Q432" s="451"/>
      <c r="R432" s="452"/>
      <c r="S432" s="451"/>
      <c r="T432" s="452"/>
      <c r="U432" s="451"/>
      <c r="V432" s="454"/>
      <c r="W432" s="451"/>
      <c r="X432" s="427"/>
    </row>
    <row r="433" spans="3:24">
      <c r="C433" s="450"/>
      <c r="E433" s="451"/>
      <c r="G433" s="451"/>
      <c r="H433" s="452"/>
      <c r="J433" s="453"/>
      <c r="L433" s="452"/>
      <c r="M433" s="451"/>
      <c r="N433" s="452"/>
      <c r="O433" s="451"/>
      <c r="P433" s="452"/>
      <c r="Q433" s="451"/>
      <c r="R433" s="452"/>
      <c r="S433" s="451"/>
      <c r="T433" s="452"/>
      <c r="U433" s="451"/>
      <c r="V433" s="454"/>
      <c r="W433" s="451"/>
      <c r="X433" s="427"/>
    </row>
    <row r="434" spans="3:24">
      <c r="C434" s="450"/>
      <c r="E434" s="451"/>
      <c r="G434" s="451"/>
      <c r="H434" s="452"/>
      <c r="J434" s="453"/>
      <c r="L434" s="452"/>
      <c r="M434" s="451"/>
      <c r="N434" s="452"/>
      <c r="O434" s="451"/>
      <c r="P434" s="452"/>
      <c r="Q434" s="451"/>
      <c r="R434" s="452"/>
      <c r="S434" s="451"/>
      <c r="T434" s="452"/>
      <c r="U434" s="451"/>
      <c r="V434" s="454"/>
      <c r="W434" s="451"/>
      <c r="X434" s="427"/>
    </row>
    <row r="435" spans="3:24">
      <c r="C435" s="450"/>
      <c r="E435" s="451"/>
      <c r="G435" s="451"/>
      <c r="H435" s="452"/>
      <c r="J435" s="453"/>
      <c r="L435" s="452"/>
      <c r="M435" s="451"/>
      <c r="N435" s="452"/>
      <c r="O435" s="451"/>
      <c r="P435" s="452"/>
      <c r="Q435" s="451"/>
      <c r="R435" s="452"/>
      <c r="S435" s="451"/>
      <c r="T435" s="452"/>
      <c r="U435" s="451"/>
      <c r="V435" s="454"/>
      <c r="W435" s="451"/>
      <c r="X435" s="427"/>
    </row>
    <row r="436" spans="3:24">
      <c r="C436" s="450"/>
      <c r="E436" s="451"/>
      <c r="G436" s="451"/>
      <c r="H436" s="452"/>
      <c r="J436" s="453"/>
      <c r="L436" s="452"/>
      <c r="M436" s="451"/>
      <c r="N436" s="452"/>
      <c r="O436" s="451"/>
      <c r="P436" s="452"/>
      <c r="Q436" s="451"/>
      <c r="R436" s="452"/>
      <c r="S436" s="451"/>
      <c r="T436" s="452"/>
      <c r="U436" s="451"/>
      <c r="V436" s="454"/>
      <c r="W436" s="451"/>
      <c r="X436" s="427"/>
    </row>
    <row r="437" spans="3:24">
      <c r="C437" s="450"/>
      <c r="E437" s="451"/>
      <c r="G437" s="451"/>
      <c r="H437" s="452"/>
      <c r="J437" s="453"/>
      <c r="L437" s="452"/>
      <c r="M437" s="451"/>
      <c r="N437" s="452"/>
      <c r="O437" s="451"/>
      <c r="P437" s="452"/>
      <c r="Q437" s="451"/>
      <c r="R437" s="452"/>
      <c r="S437" s="451"/>
      <c r="T437" s="452"/>
      <c r="U437" s="451"/>
      <c r="V437" s="454"/>
      <c r="W437" s="451"/>
      <c r="X437" s="427"/>
    </row>
    <row r="438" spans="3:24">
      <c r="C438" s="450"/>
      <c r="E438" s="451"/>
      <c r="G438" s="451"/>
      <c r="H438" s="452"/>
      <c r="J438" s="453"/>
      <c r="L438" s="452"/>
      <c r="M438" s="451"/>
      <c r="N438" s="452"/>
      <c r="O438" s="451"/>
      <c r="P438" s="452"/>
      <c r="Q438" s="451"/>
      <c r="R438" s="452"/>
      <c r="S438" s="451"/>
      <c r="T438" s="452"/>
      <c r="U438" s="451"/>
      <c r="V438" s="454"/>
      <c r="W438" s="451"/>
      <c r="X438" s="427"/>
    </row>
    <row r="439" spans="3:24">
      <c r="C439" s="450"/>
      <c r="E439" s="451"/>
      <c r="G439" s="451"/>
      <c r="H439" s="452"/>
      <c r="J439" s="453"/>
      <c r="L439" s="452"/>
      <c r="M439" s="451"/>
      <c r="N439" s="452"/>
      <c r="O439" s="451"/>
      <c r="P439" s="452"/>
      <c r="Q439" s="451"/>
      <c r="R439" s="452"/>
      <c r="S439" s="451"/>
      <c r="T439" s="452"/>
      <c r="U439" s="451"/>
      <c r="V439" s="454"/>
      <c r="W439" s="451"/>
      <c r="X439" s="427"/>
    </row>
    <row r="440" spans="3:24">
      <c r="C440" s="450"/>
      <c r="E440" s="451"/>
      <c r="G440" s="451"/>
      <c r="H440" s="452"/>
      <c r="J440" s="453"/>
      <c r="L440" s="452"/>
      <c r="M440" s="451"/>
      <c r="N440" s="452"/>
      <c r="O440" s="451"/>
      <c r="P440" s="452"/>
      <c r="Q440" s="451"/>
      <c r="R440" s="452"/>
      <c r="S440" s="451"/>
      <c r="T440" s="452"/>
      <c r="U440" s="451"/>
      <c r="V440" s="454"/>
      <c r="W440" s="451"/>
      <c r="X440" s="427"/>
    </row>
    <row r="441" spans="3:24">
      <c r="C441" s="450"/>
      <c r="E441" s="451"/>
      <c r="G441" s="451"/>
      <c r="H441" s="452"/>
      <c r="J441" s="453"/>
      <c r="L441" s="452"/>
      <c r="M441" s="451"/>
      <c r="N441" s="452"/>
      <c r="O441" s="451"/>
      <c r="P441" s="452"/>
      <c r="Q441" s="451"/>
      <c r="R441" s="452"/>
      <c r="S441" s="451"/>
      <c r="T441" s="452"/>
      <c r="U441" s="451"/>
      <c r="V441" s="454"/>
      <c r="W441" s="451"/>
      <c r="X441" s="427"/>
    </row>
    <row r="442" spans="3:24">
      <c r="C442" s="450"/>
      <c r="E442" s="451"/>
      <c r="G442" s="451"/>
      <c r="H442" s="452"/>
      <c r="J442" s="453"/>
      <c r="L442" s="452"/>
      <c r="M442" s="451"/>
      <c r="N442" s="452"/>
      <c r="O442" s="451"/>
      <c r="P442" s="452"/>
      <c r="Q442" s="451"/>
      <c r="R442" s="452"/>
      <c r="S442" s="451"/>
      <c r="T442" s="452"/>
      <c r="U442" s="451"/>
      <c r="V442" s="454"/>
      <c r="W442" s="451"/>
      <c r="X442" s="427"/>
    </row>
    <row r="443" spans="3:24">
      <c r="C443" s="450"/>
      <c r="E443" s="451"/>
      <c r="G443" s="451"/>
      <c r="H443" s="452"/>
      <c r="J443" s="453"/>
      <c r="L443" s="452"/>
      <c r="M443" s="451"/>
      <c r="N443" s="452"/>
      <c r="O443" s="451"/>
      <c r="P443" s="452"/>
      <c r="Q443" s="451"/>
      <c r="R443" s="452"/>
      <c r="S443" s="451"/>
      <c r="T443" s="452"/>
      <c r="U443" s="451"/>
      <c r="V443" s="454"/>
      <c r="W443" s="451"/>
      <c r="X443" s="427"/>
    </row>
    <row r="444" spans="3:24">
      <c r="C444" s="450"/>
      <c r="E444" s="451"/>
      <c r="G444" s="451"/>
      <c r="H444" s="452"/>
      <c r="J444" s="453"/>
      <c r="L444" s="452"/>
      <c r="M444" s="451"/>
      <c r="N444" s="452"/>
      <c r="O444" s="451"/>
      <c r="P444" s="452"/>
      <c r="Q444" s="451"/>
      <c r="R444" s="452"/>
      <c r="S444" s="451"/>
      <c r="T444" s="452"/>
      <c r="U444" s="451"/>
      <c r="V444" s="454"/>
      <c r="W444" s="451"/>
      <c r="X444" s="427"/>
    </row>
    <row r="445" spans="3:24">
      <c r="X445" s="427"/>
    </row>
    <row r="446" spans="3:24">
      <c r="X446" s="427"/>
    </row>
    <row r="447" spans="3:24">
      <c r="C447" s="455"/>
      <c r="E447" s="456"/>
      <c r="G447" s="456"/>
      <c r="H447" s="457"/>
      <c r="J447" s="458"/>
      <c r="L447" s="457"/>
      <c r="M447" s="456"/>
      <c r="N447" s="457"/>
      <c r="O447" s="456"/>
      <c r="P447" s="457"/>
      <c r="Q447" s="456"/>
      <c r="R447" s="457"/>
      <c r="S447" s="456"/>
      <c r="T447" s="457"/>
      <c r="U447" s="456"/>
      <c r="V447" s="459"/>
      <c r="W447" s="456"/>
      <c r="X447" s="427"/>
    </row>
    <row r="448" spans="3:24">
      <c r="C448" s="450"/>
      <c r="E448" s="451"/>
      <c r="G448" s="451"/>
      <c r="H448" s="452"/>
      <c r="J448" s="453"/>
      <c r="L448" s="452"/>
      <c r="M448" s="451"/>
      <c r="N448" s="452"/>
      <c r="O448" s="451"/>
      <c r="P448" s="452"/>
      <c r="Q448" s="451"/>
      <c r="R448" s="452"/>
      <c r="S448" s="451"/>
      <c r="T448" s="452"/>
      <c r="U448" s="451"/>
      <c r="V448" s="454"/>
      <c r="W448" s="451"/>
      <c r="X448" s="427"/>
    </row>
    <row r="449" spans="3:24">
      <c r="C449" s="455"/>
      <c r="E449" s="456"/>
      <c r="G449" s="456"/>
      <c r="H449" s="457"/>
      <c r="J449" s="458"/>
      <c r="L449" s="457"/>
      <c r="M449" s="456"/>
      <c r="N449" s="457"/>
      <c r="O449" s="456"/>
      <c r="P449" s="457"/>
      <c r="Q449" s="456"/>
      <c r="R449" s="457"/>
      <c r="S449" s="456"/>
      <c r="T449" s="457"/>
      <c r="U449" s="456"/>
      <c r="V449" s="459"/>
      <c r="W449" s="456"/>
      <c r="X449" s="427"/>
    </row>
    <row r="450" spans="3:24">
      <c r="C450" s="455"/>
      <c r="E450" s="456"/>
      <c r="G450" s="456"/>
      <c r="H450" s="457"/>
      <c r="J450" s="458"/>
      <c r="L450" s="457"/>
      <c r="M450" s="456"/>
      <c r="N450" s="457"/>
      <c r="O450" s="456"/>
      <c r="P450" s="457"/>
      <c r="Q450" s="456"/>
      <c r="R450" s="457"/>
      <c r="S450" s="456"/>
      <c r="T450" s="457"/>
      <c r="U450" s="456"/>
      <c r="V450" s="459"/>
      <c r="W450" s="456"/>
      <c r="X450" s="427"/>
    </row>
    <row r="451" spans="3:24">
      <c r="X451" s="456"/>
    </row>
    <row r="452" spans="3:24">
      <c r="X452" s="456"/>
    </row>
    <row r="453" spans="3:24">
      <c r="X453" s="456"/>
    </row>
    <row r="454" spans="3:24">
      <c r="X454" s="460"/>
    </row>
    <row r="455" spans="3:24">
      <c r="X455" s="451"/>
    </row>
    <row r="456" spans="3:24">
      <c r="X456" s="451"/>
    </row>
    <row r="457" spans="3:24">
      <c r="X457" s="451"/>
    </row>
    <row r="458" spans="3:24">
      <c r="X458" s="451"/>
    </row>
    <row r="509" spans="24:24">
      <c r="X509" s="432"/>
    </row>
    <row r="510" spans="24:24">
      <c r="X510" s="432"/>
    </row>
    <row r="511" spans="24:24">
      <c r="X511" s="432"/>
    </row>
    <row r="513" spans="24:24">
      <c r="X513" s="432"/>
    </row>
    <row r="514" spans="24:24">
      <c r="X514" s="432"/>
    </row>
    <row r="515" spans="24:24">
      <c r="X515" s="432"/>
    </row>
    <row r="516" spans="24:24">
      <c r="X516" s="432"/>
    </row>
    <row r="517" spans="24:24">
      <c r="X517" s="432"/>
    </row>
    <row r="518" spans="24:24">
      <c r="X518" s="432"/>
    </row>
    <row r="519" spans="24:24">
      <c r="X519" s="432"/>
    </row>
    <row r="520" spans="24:24">
      <c r="X520" s="432"/>
    </row>
    <row r="521" spans="24:24">
      <c r="X521" s="432"/>
    </row>
    <row r="522" spans="24:24">
      <c r="X522" s="432"/>
    </row>
    <row r="523" spans="24:24">
      <c r="X523" s="432"/>
    </row>
    <row r="524" spans="24:24">
      <c r="X524" s="432"/>
    </row>
    <row r="525" spans="24:24">
      <c r="X525" s="432"/>
    </row>
    <row r="526" spans="24:24">
      <c r="X526" s="432"/>
    </row>
    <row r="527" spans="24:24">
      <c r="X527" s="432"/>
    </row>
    <row r="528" spans="24:24">
      <c r="X528" s="432"/>
    </row>
    <row r="529" spans="2:24">
      <c r="X529" s="432"/>
    </row>
    <row r="530" spans="2:24">
      <c r="X530" s="432"/>
    </row>
    <row r="532" spans="2:24">
      <c r="C532" s="461"/>
      <c r="E532" s="432"/>
      <c r="G532" s="432"/>
      <c r="H532" s="433"/>
      <c r="J532" s="434"/>
      <c r="L532" s="433"/>
      <c r="M532" s="432"/>
      <c r="N532" s="433"/>
      <c r="O532" s="432"/>
      <c r="P532" s="433"/>
      <c r="Q532" s="432"/>
      <c r="R532" s="433"/>
      <c r="S532" s="432"/>
      <c r="T532" s="433"/>
      <c r="U532" s="432"/>
      <c r="V532" s="435"/>
      <c r="W532" s="432"/>
    </row>
    <row r="533" spans="2:24">
      <c r="C533" s="461"/>
      <c r="E533" s="432"/>
      <c r="G533" s="432"/>
      <c r="H533" s="433"/>
      <c r="J533" s="434"/>
      <c r="L533" s="433"/>
      <c r="M533" s="432"/>
      <c r="N533" s="433"/>
      <c r="O533" s="432"/>
      <c r="P533" s="433"/>
      <c r="Q533" s="432"/>
      <c r="R533" s="433"/>
      <c r="S533" s="432"/>
      <c r="T533" s="433"/>
      <c r="U533" s="432"/>
      <c r="V533" s="435"/>
      <c r="W533" s="432"/>
    </row>
    <row r="534" spans="2:24">
      <c r="B534" s="428"/>
      <c r="X534" s="432"/>
    </row>
    <row r="535" spans="2:24">
      <c r="X535" s="432"/>
    </row>
    <row r="536" spans="2:24">
      <c r="X536" s="432"/>
    </row>
    <row r="537" spans="2:24">
      <c r="X537" s="432"/>
    </row>
    <row r="538" spans="2:24">
      <c r="X538" s="432"/>
    </row>
    <row r="539" spans="2:24">
      <c r="X539" s="462"/>
    </row>
    <row r="540" spans="2:24">
      <c r="X540" s="432"/>
    </row>
    <row r="542" spans="2:24">
      <c r="X542" s="432"/>
    </row>
    <row r="544" spans="2:24">
      <c r="X544" s="432"/>
    </row>
    <row r="545" spans="24:24">
      <c r="X545" s="4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DA7C3-243D-424B-9884-20CB3DF0449D}">
  <sheetPr>
    <tabColor theme="4" tint="0.59999389629810485"/>
  </sheetPr>
  <dimension ref="A1:C6"/>
  <sheetViews>
    <sheetView workbookViewId="0"/>
  </sheetViews>
  <sheetFormatPr defaultRowHeight="15"/>
  <sheetData>
    <row r="1" spans="1:3" ht="30">
      <c r="A1" s="14" t="s">
        <v>15</v>
      </c>
      <c r="B1" s="14" t="s">
        <v>20</v>
      </c>
      <c r="C1" s="14" t="s">
        <v>21</v>
      </c>
    </row>
    <row r="2" spans="1:3">
      <c r="A2" s="19" t="s">
        <v>28</v>
      </c>
      <c r="B2" s="465">
        <v>0</v>
      </c>
      <c r="C2" s="465">
        <v>0</v>
      </c>
    </row>
    <row r="3" spans="1:3">
      <c r="A3" s="19" t="s">
        <v>29</v>
      </c>
      <c r="B3" s="465">
        <v>0</v>
      </c>
      <c r="C3" s="465">
        <v>0</v>
      </c>
    </row>
    <row r="4" spans="1:3">
      <c r="A4" s="19" t="s">
        <v>30</v>
      </c>
      <c r="B4" s="465">
        <v>0</v>
      </c>
      <c r="C4" s="465">
        <v>0</v>
      </c>
    </row>
    <row r="5" spans="1:3">
      <c r="A5" s="19" t="s">
        <v>32</v>
      </c>
      <c r="B5" s="465">
        <v>0</v>
      </c>
      <c r="C5" s="465">
        <v>0</v>
      </c>
    </row>
    <row r="6" spans="1:3">
      <c r="A6" s="19" t="s">
        <v>34</v>
      </c>
      <c r="B6" s="465">
        <v>0.3488</v>
      </c>
      <c r="C6" s="465">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AE4BD-5802-4548-A0F1-9A5973F21686}">
  <sheetPr>
    <tabColor theme="4" tint="0.59999389629810485"/>
  </sheetPr>
  <dimension ref="A1:H32"/>
  <sheetViews>
    <sheetView workbookViewId="0"/>
  </sheetViews>
  <sheetFormatPr defaultRowHeight="15"/>
  <cols>
    <col min="2" max="3" width="14.5703125" bestFit="1" customWidth="1"/>
    <col min="5" max="6" width="12.140625" bestFit="1" customWidth="1"/>
    <col min="7" max="7" width="10" customWidth="1"/>
    <col min="8" max="8" width="11.5703125" customWidth="1"/>
  </cols>
  <sheetData>
    <row r="1" spans="1:8" ht="105">
      <c r="A1" s="15" t="s">
        <v>135</v>
      </c>
      <c r="B1" s="15" t="s">
        <v>18</v>
      </c>
      <c r="C1" s="15" t="s">
        <v>19</v>
      </c>
      <c r="D1" s="14" t="s">
        <v>21</v>
      </c>
      <c r="E1" s="466" t="s">
        <v>500</v>
      </c>
      <c r="F1" s="466" t="s">
        <v>501</v>
      </c>
      <c r="G1" s="466" t="s">
        <v>499</v>
      </c>
      <c r="H1" s="466" t="s">
        <v>502</v>
      </c>
    </row>
    <row r="2" spans="1:8">
      <c r="A2" s="73"/>
      <c r="B2" s="467"/>
      <c r="C2" s="467"/>
      <c r="D2" s="468"/>
      <c r="E2" s="467"/>
      <c r="F2" s="467"/>
      <c r="G2" s="467"/>
      <c r="H2" s="469"/>
    </row>
    <row r="3" spans="1:8">
      <c r="A3" s="19" t="s">
        <v>28</v>
      </c>
      <c r="B3" s="469">
        <f>'4D 773b 2020'!I17</f>
        <v>0</v>
      </c>
      <c r="C3" s="469">
        <f>'4D 773b 2020'!J17</f>
        <v>0</v>
      </c>
      <c r="D3" s="468">
        <f>'4D-CDR-2020'!K16</f>
        <v>0</v>
      </c>
      <c r="E3" s="469">
        <f t="shared" ref="E3:E7" si="0">(B3/100)*D3</f>
        <v>0</v>
      </c>
      <c r="F3" s="469">
        <f t="shared" ref="F3:F7" si="1">(C3/100)*D3</f>
        <v>0</v>
      </c>
      <c r="G3" s="469">
        <f t="shared" ref="G3:G7" si="2">E3-F3</f>
        <v>0</v>
      </c>
      <c r="H3" s="469">
        <f>IF((G3-G2)&gt;0,(G3-G2),0)</f>
        <v>0</v>
      </c>
    </row>
    <row r="4" spans="1:8">
      <c r="A4" s="19" t="s">
        <v>29</v>
      </c>
      <c r="B4" s="469">
        <f>'4D 773b 2020'!I18</f>
        <v>0</v>
      </c>
      <c r="C4" s="469">
        <f>'4D 773b 2020'!J18</f>
        <v>0</v>
      </c>
      <c r="D4" s="468">
        <f>'4D-CDR-2020'!K17</f>
        <v>0</v>
      </c>
      <c r="E4" s="469">
        <f t="shared" si="0"/>
        <v>0</v>
      </c>
      <c r="F4" s="469">
        <f t="shared" si="1"/>
        <v>0</v>
      </c>
      <c r="G4" s="469">
        <f t="shared" si="2"/>
        <v>0</v>
      </c>
      <c r="H4" s="469">
        <f t="shared" ref="H4:H32" si="3">IF((G4-G3)&gt;0,(G4-G3),0)</f>
        <v>0</v>
      </c>
    </row>
    <row r="5" spans="1:8">
      <c r="A5" s="19" t="s">
        <v>30</v>
      </c>
      <c r="B5" s="469">
        <f>'4D 773b 2020'!I19</f>
        <v>0</v>
      </c>
      <c r="C5" s="469">
        <f>'4D 773b 2020'!J19</f>
        <v>0</v>
      </c>
      <c r="D5" s="468">
        <f>'4D-CDR-2020'!K18</f>
        <v>0</v>
      </c>
      <c r="E5" s="469">
        <f t="shared" si="0"/>
        <v>0</v>
      </c>
      <c r="F5" s="469">
        <f t="shared" si="1"/>
        <v>0</v>
      </c>
      <c r="G5" s="469">
        <f t="shared" si="2"/>
        <v>0</v>
      </c>
      <c r="H5" s="469">
        <f t="shared" si="3"/>
        <v>0</v>
      </c>
    </row>
    <row r="6" spans="1:8">
      <c r="A6" s="19" t="s">
        <v>32</v>
      </c>
      <c r="B6" s="469">
        <f>'4D 773b 2020'!I20</f>
        <v>0</v>
      </c>
      <c r="C6" s="469">
        <f>'4D 773b 2020'!J20</f>
        <v>0</v>
      </c>
      <c r="D6" s="468">
        <f>'4D-CDR-2020'!K19</f>
        <v>0</v>
      </c>
      <c r="E6" s="469">
        <f t="shared" si="0"/>
        <v>0</v>
      </c>
      <c r="F6" s="469">
        <f t="shared" si="1"/>
        <v>0</v>
      </c>
      <c r="G6" s="469">
        <f t="shared" si="2"/>
        <v>0</v>
      </c>
      <c r="H6" s="469">
        <f t="shared" si="3"/>
        <v>0</v>
      </c>
    </row>
    <row r="7" spans="1:8">
      <c r="A7" s="19" t="s">
        <v>34</v>
      </c>
      <c r="B7" s="469">
        <f>'4D 773b 2020'!I21</f>
        <v>0</v>
      </c>
      <c r="C7" s="469">
        <f>'4D 773b 2020'!J21</f>
        <v>0</v>
      </c>
      <c r="D7" s="468">
        <f>'4D-CDR-2020'!K20</f>
        <v>0</v>
      </c>
      <c r="E7" s="469">
        <f t="shared" si="0"/>
        <v>0</v>
      </c>
      <c r="F7" s="469">
        <f t="shared" si="1"/>
        <v>0</v>
      </c>
      <c r="G7" s="469">
        <f t="shared" si="2"/>
        <v>0</v>
      </c>
      <c r="H7" s="469">
        <f t="shared" si="3"/>
        <v>0</v>
      </c>
    </row>
    <row r="8" spans="1:8">
      <c r="A8" s="19" t="s">
        <v>35</v>
      </c>
      <c r="B8" s="469">
        <f>'4D 773b 2020'!I22</f>
        <v>0</v>
      </c>
      <c r="C8" s="469">
        <f>'4D 773b 2020'!J22</f>
        <v>0</v>
      </c>
      <c r="D8" s="468">
        <f>'4D-CDR-2020'!K21</f>
        <v>1.17</v>
      </c>
      <c r="E8" s="469">
        <f>(B8/100)*D8</f>
        <v>0</v>
      </c>
      <c r="F8" s="469">
        <f>(C8/100)*D8</f>
        <v>0</v>
      </c>
      <c r="G8" s="469">
        <f>E8-F8</f>
        <v>0</v>
      </c>
      <c r="H8" s="469">
        <f t="shared" si="3"/>
        <v>0</v>
      </c>
    </row>
    <row r="9" spans="1:8">
      <c r="A9" s="19" t="s">
        <v>37</v>
      </c>
      <c r="B9" s="469">
        <f>'4D 773b 2020'!I23</f>
        <v>443800</v>
      </c>
      <c r="C9" s="469">
        <f>'4D 773b 2020'!J23</f>
        <v>0</v>
      </c>
      <c r="D9" s="468">
        <f>'4D-CDR-2020'!K22</f>
        <v>1.0683</v>
      </c>
      <c r="E9" s="469">
        <f t="shared" ref="E9:E32" si="4">(B9/100)*D9</f>
        <v>4741.1153999999997</v>
      </c>
      <c r="F9" s="469">
        <f t="shared" ref="F9:F32" si="5">(C9/100)*D9</f>
        <v>0</v>
      </c>
      <c r="G9" s="469">
        <f t="shared" ref="G9:G32" si="6">E9-F9</f>
        <v>4741.1153999999997</v>
      </c>
      <c r="H9" s="469">
        <f t="shared" si="3"/>
        <v>4741.1153999999997</v>
      </c>
    </row>
    <row r="10" spans="1:8">
      <c r="A10" s="19" t="s">
        <v>39</v>
      </c>
      <c r="B10" s="469">
        <f>'4D 773b 2020'!I24</f>
        <v>169621380</v>
      </c>
      <c r="C10" s="469">
        <f>'4D 773b 2020'!J24</f>
        <v>20000000</v>
      </c>
      <c r="D10" s="468">
        <f>'4D-CDR-2020'!K23</f>
        <v>1.0547</v>
      </c>
      <c r="E10" s="469">
        <f t="shared" si="4"/>
        <v>1788996.6948599999</v>
      </c>
      <c r="F10" s="469">
        <f t="shared" si="5"/>
        <v>210940</v>
      </c>
      <c r="G10" s="469">
        <f t="shared" si="6"/>
        <v>1578056.6948599999</v>
      </c>
      <c r="H10" s="469">
        <f t="shared" si="3"/>
        <v>1573315.5794599999</v>
      </c>
    </row>
    <row r="11" spans="1:8">
      <c r="A11" s="19" t="s">
        <v>41</v>
      </c>
      <c r="B11" s="469">
        <f>'4D 773b 2020'!I25</f>
        <v>161140000</v>
      </c>
      <c r="C11" s="469">
        <f>'4D 773b 2020'!J25</f>
        <v>20000000</v>
      </c>
      <c r="D11" s="468">
        <f>'4D-CDR-2020'!K24</f>
        <v>1.0547</v>
      </c>
      <c r="E11" s="469">
        <f t="shared" si="4"/>
        <v>1699543.5799999998</v>
      </c>
      <c r="F11" s="469">
        <f t="shared" si="5"/>
        <v>210940</v>
      </c>
      <c r="G11" s="469">
        <f t="shared" si="6"/>
        <v>1488603.5799999998</v>
      </c>
      <c r="H11" s="469">
        <f t="shared" si="3"/>
        <v>0</v>
      </c>
    </row>
    <row r="12" spans="1:8">
      <c r="A12" s="19" t="s">
        <v>43</v>
      </c>
      <c r="B12" s="469">
        <f>'4D 773b 2020'!I26</f>
        <v>153083000</v>
      </c>
      <c r="C12" s="469">
        <f>'4D 773b 2020'!J26</f>
        <v>20000000</v>
      </c>
      <c r="D12" s="468">
        <f>'4D-CDR-2020'!K25</f>
        <v>1.0547</v>
      </c>
      <c r="E12" s="469">
        <f t="shared" si="4"/>
        <v>1614566.4010000001</v>
      </c>
      <c r="F12" s="469">
        <f t="shared" si="5"/>
        <v>210940</v>
      </c>
      <c r="G12" s="469">
        <f t="shared" si="6"/>
        <v>1403626.4010000001</v>
      </c>
      <c r="H12" s="469">
        <f t="shared" si="3"/>
        <v>0</v>
      </c>
    </row>
    <row r="13" spans="1:8">
      <c r="A13" s="19" t="s">
        <v>45</v>
      </c>
      <c r="B13" s="469">
        <f>'4D 773b 2020'!I27</f>
        <v>142367000</v>
      </c>
      <c r="C13" s="469">
        <f>'4D 773b 2020'!J27</f>
        <v>20000000</v>
      </c>
      <c r="D13" s="468">
        <f>'4D-CDR-2020'!K26</f>
        <v>1.0547</v>
      </c>
      <c r="E13" s="469">
        <f t="shared" si="4"/>
        <v>1501544.7490000001</v>
      </c>
      <c r="F13" s="469">
        <f t="shared" si="5"/>
        <v>210940</v>
      </c>
      <c r="G13" s="469">
        <f t="shared" si="6"/>
        <v>1290604.7490000001</v>
      </c>
      <c r="H13" s="469">
        <f t="shared" si="3"/>
        <v>0</v>
      </c>
    </row>
    <row r="14" spans="1:8">
      <c r="A14" s="19" t="s">
        <v>47</v>
      </c>
      <c r="B14" s="469">
        <f>'4D 773b 2020'!I28</f>
        <v>132402000</v>
      </c>
      <c r="C14" s="469">
        <f>'4D 773b 2020'!J28</f>
        <v>20000000</v>
      </c>
      <c r="D14" s="468">
        <f>'4D-CDR-2020'!K27</f>
        <v>1.0547</v>
      </c>
      <c r="E14" s="469">
        <f t="shared" si="4"/>
        <v>1396443.8939999999</v>
      </c>
      <c r="F14" s="469">
        <f t="shared" si="5"/>
        <v>210940</v>
      </c>
      <c r="G14" s="469">
        <f t="shared" si="6"/>
        <v>1185503.8939999999</v>
      </c>
      <c r="H14" s="469">
        <f t="shared" si="3"/>
        <v>0</v>
      </c>
    </row>
    <row r="15" spans="1:8">
      <c r="A15" s="19" t="s">
        <v>49</v>
      </c>
      <c r="B15" s="469">
        <f>'4D 773b 2020'!I29</f>
        <v>123134000</v>
      </c>
      <c r="C15" s="469">
        <f>'4D 773b 2020'!J29</f>
        <v>20000000</v>
      </c>
      <c r="D15" s="468">
        <f>'4D-CDR-2020'!K28</f>
        <v>1.0547</v>
      </c>
      <c r="E15" s="469">
        <f t="shared" si="4"/>
        <v>1298694.298</v>
      </c>
      <c r="F15" s="469">
        <f t="shared" si="5"/>
        <v>210940</v>
      </c>
      <c r="G15" s="469">
        <f t="shared" si="6"/>
        <v>1087754.298</v>
      </c>
      <c r="H15" s="469">
        <f t="shared" si="3"/>
        <v>0</v>
      </c>
    </row>
    <row r="16" spans="1:8">
      <c r="A16" s="19" t="s">
        <v>51</v>
      </c>
      <c r="B16" s="469">
        <f>'4D 773b 2020'!I30</f>
        <v>114514000</v>
      </c>
      <c r="C16" s="469">
        <f>'4D 773b 2020'!J30</f>
        <v>20000000</v>
      </c>
      <c r="D16" s="468">
        <f>'4D-CDR-2020'!K29</f>
        <v>1.0547</v>
      </c>
      <c r="E16" s="469">
        <f t="shared" si="4"/>
        <v>1207779.1580000001</v>
      </c>
      <c r="F16" s="469">
        <f t="shared" si="5"/>
        <v>210940</v>
      </c>
      <c r="G16" s="469">
        <f t="shared" si="6"/>
        <v>996839.15800000005</v>
      </c>
      <c r="H16" s="469">
        <f t="shared" si="3"/>
        <v>0</v>
      </c>
    </row>
    <row r="17" spans="1:8">
      <c r="A17" s="19" t="s">
        <v>53</v>
      </c>
      <c r="B17" s="469">
        <f>'4D 773b 2020'!I31</f>
        <v>106498000</v>
      </c>
      <c r="C17" s="469">
        <f>'4D 773b 2020'!J31</f>
        <v>20000000</v>
      </c>
      <c r="D17" s="468">
        <f>'4D-CDR-2020'!K30</f>
        <v>1.0547</v>
      </c>
      <c r="E17" s="469">
        <f t="shared" si="4"/>
        <v>1123234.406</v>
      </c>
      <c r="F17" s="469">
        <f t="shared" si="5"/>
        <v>210940</v>
      </c>
      <c r="G17" s="469">
        <f t="shared" si="6"/>
        <v>912294.40599999996</v>
      </c>
      <c r="H17" s="469">
        <f t="shared" si="3"/>
        <v>0</v>
      </c>
    </row>
    <row r="18" spans="1:8">
      <c r="A18" s="19" t="s">
        <v>55</v>
      </c>
      <c r="B18" s="469">
        <f>'4D 773b 2020'!I32</f>
        <v>99043000</v>
      </c>
      <c r="C18" s="469">
        <f>'4D 773b 2020'!J32</f>
        <v>20000000</v>
      </c>
      <c r="D18" s="468">
        <f>'4D-CDR-2020'!K31</f>
        <v>1.0547</v>
      </c>
      <c r="E18" s="469">
        <f t="shared" si="4"/>
        <v>1044606.5209999999</v>
      </c>
      <c r="F18" s="469">
        <f t="shared" si="5"/>
        <v>210940</v>
      </c>
      <c r="G18" s="469">
        <f t="shared" si="6"/>
        <v>833666.52099999995</v>
      </c>
      <c r="H18" s="469">
        <f t="shared" si="3"/>
        <v>0</v>
      </c>
    </row>
    <row r="19" spans="1:8">
      <c r="A19" s="19" t="s">
        <v>57</v>
      </c>
      <c r="B19" s="469">
        <f>'4D 773b 2020'!I33</f>
        <v>92110000</v>
      </c>
      <c r="C19" s="469">
        <f>'4D 773b 2020'!J33</f>
        <v>20000000</v>
      </c>
      <c r="D19" s="468">
        <f>'4D-CDR-2020'!K32</f>
        <v>1.0547</v>
      </c>
      <c r="E19" s="469">
        <f t="shared" si="4"/>
        <v>971484.16999999993</v>
      </c>
      <c r="F19" s="469">
        <f t="shared" si="5"/>
        <v>210940</v>
      </c>
      <c r="G19" s="469">
        <f t="shared" si="6"/>
        <v>760544.16999999993</v>
      </c>
      <c r="H19" s="469">
        <f t="shared" si="3"/>
        <v>0</v>
      </c>
    </row>
    <row r="20" spans="1:8">
      <c r="A20" s="19" t="s">
        <v>59</v>
      </c>
      <c r="B20" s="469">
        <f>'4D 773b 2020'!I34</f>
        <v>82899000</v>
      </c>
      <c r="C20" s="469">
        <f>'4D 773b 2020'!J34</f>
        <v>82899000</v>
      </c>
      <c r="D20" s="468">
        <f>'4D-CDR-2020'!K33</f>
        <v>1.0547</v>
      </c>
      <c r="E20" s="469">
        <f t="shared" si="4"/>
        <v>874335.75300000003</v>
      </c>
      <c r="F20" s="469">
        <f t="shared" si="5"/>
        <v>874335.75300000003</v>
      </c>
      <c r="G20" s="469">
        <f t="shared" si="6"/>
        <v>0</v>
      </c>
      <c r="H20" s="469">
        <f t="shared" si="3"/>
        <v>0</v>
      </c>
    </row>
    <row r="21" spans="1:8">
      <c r="A21" s="19" t="s">
        <v>61</v>
      </c>
      <c r="B21" s="469">
        <f>'4D 773b 2020'!I35</f>
        <v>74609000</v>
      </c>
      <c r="C21" s="469">
        <f>'4D 773b 2020'!J35</f>
        <v>74609000</v>
      </c>
      <c r="D21" s="468">
        <f>'4D-CDR-2020'!K34</f>
        <v>1.0547</v>
      </c>
      <c r="E21" s="469">
        <f t="shared" si="4"/>
        <v>786901.12300000002</v>
      </c>
      <c r="F21" s="469">
        <f t="shared" si="5"/>
        <v>786901.12300000002</v>
      </c>
      <c r="G21" s="469">
        <f t="shared" si="6"/>
        <v>0</v>
      </c>
      <c r="H21" s="469">
        <f t="shared" si="3"/>
        <v>0</v>
      </c>
    </row>
    <row r="22" spans="1:8">
      <c r="A22" s="19" t="s">
        <v>63</v>
      </c>
      <c r="B22" s="469">
        <f>'4D 773b 2020'!I36</f>
        <v>67148000</v>
      </c>
      <c r="C22" s="469">
        <f>'4D 773b 2020'!J36</f>
        <v>67148000</v>
      </c>
      <c r="D22" s="468">
        <f>'4D-CDR-2020'!K35</f>
        <v>1.0547</v>
      </c>
      <c r="E22" s="469">
        <f t="shared" si="4"/>
        <v>708209.95600000001</v>
      </c>
      <c r="F22" s="469">
        <f t="shared" si="5"/>
        <v>708209.95600000001</v>
      </c>
      <c r="G22" s="469">
        <f t="shared" si="6"/>
        <v>0</v>
      </c>
      <c r="H22" s="469">
        <f t="shared" si="3"/>
        <v>0</v>
      </c>
    </row>
    <row r="23" spans="1:8">
      <c r="A23" s="19" t="s">
        <v>65</v>
      </c>
      <c r="B23" s="469">
        <f>'4D 773b 2020'!I37</f>
        <v>60433000</v>
      </c>
      <c r="C23" s="469">
        <f>'4D 773b 2020'!J37</f>
        <v>60433000</v>
      </c>
      <c r="D23" s="468">
        <f>'4D-CDR-2020'!K36</f>
        <v>1.0547</v>
      </c>
      <c r="E23" s="469">
        <f t="shared" si="4"/>
        <v>637386.85100000002</v>
      </c>
      <c r="F23" s="469">
        <f t="shared" si="5"/>
        <v>637386.85100000002</v>
      </c>
      <c r="G23" s="469">
        <f t="shared" si="6"/>
        <v>0</v>
      </c>
      <c r="H23" s="469">
        <f t="shared" si="3"/>
        <v>0</v>
      </c>
    </row>
    <row r="24" spans="1:8">
      <c r="A24" s="19" t="s">
        <v>66</v>
      </c>
      <c r="B24" s="469">
        <f>'4D 773b 2020'!I38</f>
        <v>54390000</v>
      </c>
      <c r="C24" s="469">
        <f>'4D 773b 2020'!J38</f>
        <v>54390000</v>
      </c>
      <c r="D24" s="468">
        <f>'4D-CDR-2020'!K37</f>
        <v>1.0547</v>
      </c>
      <c r="E24" s="469">
        <f t="shared" si="4"/>
        <v>573651.32999999996</v>
      </c>
      <c r="F24" s="469">
        <f t="shared" si="5"/>
        <v>573651.32999999996</v>
      </c>
      <c r="G24" s="469">
        <f t="shared" si="6"/>
        <v>0</v>
      </c>
      <c r="H24" s="469">
        <f t="shared" si="3"/>
        <v>0</v>
      </c>
    </row>
    <row r="25" spans="1:8">
      <c r="A25" s="19" t="s">
        <v>67</v>
      </c>
      <c r="B25" s="469">
        <f>'4D 773b 2020'!I39</f>
        <v>0</v>
      </c>
      <c r="C25" s="469">
        <f>'4D 773b 2020'!J39</f>
        <v>0</v>
      </c>
      <c r="D25" s="468">
        <f>'4D-CDR-2020'!K38</f>
        <v>0</v>
      </c>
      <c r="E25" s="469">
        <f t="shared" si="4"/>
        <v>0</v>
      </c>
      <c r="F25" s="469">
        <f t="shared" si="5"/>
        <v>0</v>
      </c>
      <c r="G25" s="469">
        <f t="shared" si="6"/>
        <v>0</v>
      </c>
      <c r="H25" s="469">
        <f t="shared" si="3"/>
        <v>0</v>
      </c>
    </row>
    <row r="26" spans="1:8">
      <c r="A26" s="19" t="s">
        <v>68</v>
      </c>
      <c r="B26" s="469">
        <f>'4D 773b 2020'!I40</f>
        <v>0</v>
      </c>
      <c r="C26" s="469">
        <f>'4D 773b 2020'!J40</f>
        <v>0</v>
      </c>
      <c r="D26" s="468">
        <f>'4D-CDR-2020'!K39</f>
        <v>0</v>
      </c>
      <c r="E26" s="469">
        <f t="shared" si="4"/>
        <v>0</v>
      </c>
      <c r="F26" s="469">
        <f t="shared" si="5"/>
        <v>0</v>
      </c>
      <c r="G26" s="469">
        <f t="shared" si="6"/>
        <v>0</v>
      </c>
      <c r="H26" s="469">
        <f t="shared" si="3"/>
        <v>0</v>
      </c>
    </row>
    <row r="27" spans="1:8">
      <c r="A27" s="19" t="s">
        <v>69</v>
      </c>
      <c r="B27" s="469">
        <f>'4D 773b 2020'!I41</f>
        <v>0</v>
      </c>
      <c r="C27" s="469">
        <f>'4D 773b 2020'!J41</f>
        <v>0</v>
      </c>
      <c r="D27" s="468">
        <f>'4D-CDR-2020'!K40</f>
        <v>0</v>
      </c>
      <c r="E27" s="469">
        <f t="shared" si="4"/>
        <v>0</v>
      </c>
      <c r="F27" s="469">
        <f t="shared" si="5"/>
        <v>0</v>
      </c>
      <c r="G27" s="469">
        <f t="shared" si="6"/>
        <v>0</v>
      </c>
      <c r="H27" s="469">
        <f t="shared" si="3"/>
        <v>0</v>
      </c>
    </row>
    <row r="28" spans="1:8">
      <c r="A28" s="19" t="s">
        <v>70</v>
      </c>
      <c r="B28" s="469">
        <f>'4D 773b 2020'!I42</f>
        <v>0</v>
      </c>
      <c r="C28" s="469">
        <f>'4D 773b 2020'!J42</f>
        <v>0</v>
      </c>
      <c r="D28" s="468">
        <f>'4D-CDR-2020'!K41</f>
        <v>0</v>
      </c>
      <c r="E28" s="469">
        <f t="shared" si="4"/>
        <v>0</v>
      </c>
      <c r="F28" s="469">
        <f t="shared" si="5"/>
        <v>0</v>
      </c>
      <c r="G28" s="469">
        <f t="shared" si="6"/>
        <v>0</v>
      </c>
      <c r="H28" s="469">
        <f t="shared" si="3"/>
        <v>0</v>
      </c>
    </row>
    <row r="29" spans="1:8">
      <c r="A29" s="19" t="s">
        <v>100</v>
      </c>
      <c r="B29" s="469">
        <f>'4D 773b 2020'!I43</f>
        <v>0</v>
      </c>
      <c r="C29" s="469">
        <f>'4D 773b 2020'!J43</f>
        <v>0</v>
      </c>
      <c r="D29" s="468">
        <f>'4D-CDR-2020'!K42</f>
        <v>0</v>
      </c>
      <c r="E29" s="469">
        <f t="shared" si="4"/>
        <v>0</v>
      </c>
      <c r="F29" s="469">
        <f t="shared" si="5"/>
        <v>0</v>
      </c>
      <c r="G29" s="469">
        <f t="shared" si="6"/>
        <v>0</v>
      </c>
      <c r="H29" s="469">
        <f t="shared" si="3"/>
        <v>0</v>
      </c>
    </row>
    <row r="30" spans="1:8">
      <c r="A30" s="19" t="s">
        <v>101</v>
      </c>
      <c r="B30" s="469">
        <f>'4D 773b 2020'!I44</f>
        <v>0</v>
      </c>
      <c r="C30" s="469">
        <f>'4D 773b 2020'!J44</f>
        <v>0</v>
      </c>
      <c r="D30" s="468">
        <f>'4D-CDR-2020'!K43</f>
        <v>0</v>
      </c>
      <c r="E30" s="469">
        <f t="shared" si="4"/>
        <v>0</v>
      </c>
      <c r="F30" s="469">
        <f t="shared" si="5"/>
        <v>0</v>
      </c>
      <c r="G30" s="469">
        <f t="shared" si="6"/>
        <v>0</v>
      </c>
      <c r="H30" s="469">
        <f t="shared" si="3"/>
        <v>0</v>
      </c>
    </row>
    <row r="31" spans="1:8">
      <c r="A31" s="19" t="s">
        <v>102</v>
      </c>
      <c r="B31" s="469">
        <f>'4D 773b 2020'!I45</f>
        <v>0</v>
      </c>
      <c r="C31" s="469">
        <f>'4D 773b 2020'!J45</f>
        <v>0</v>
      </c>
      <c r="D31" s="468">
        <f>'4D-CDR-2020'!K44</f>
        <v>0</v>
      </c>
      <c r="E31" s="469">
        <f t="shared" si="4"/>
        <v>0</v>
      </c>
      <c r="F31" s="469">
        <f t="shared" si="5"/>
        <v>0</v>
      </c>
      <c r="G31" s="469">
        <f t="shared" si="6"/>
        <v>0</v>
      </c>
      <c r="H31" s="469">
        <f t="shared" si="3"/>
        <v>0</v>
      </c>
    </row>
    <row r="32" spans="1:8">
      <c r="A32" s="19" t="s">
        <v>103</v>
      </c>
      <c r="B32" s="469">
        <f>'4D 773b 2020'!I46</f>
        <v>0</v>
      </c>
      <c r="C32" s="469">
        <f>'4D 773b 2020'!J46</f>
        <v>0</v>
      </c>
      <c r="D32" s="468">
        <f>'4D-CDR-2020'!K45</f>
        <v>0</v>
      </c>
      <c r="E32" s="469">
        <f t="shared" si="4"/>
        <v>0</v>
      </c>
      <c r="F32" s="469">
        <f t="shared" si="5"/>
        <v>0</v>
      </c>
      <c r="G32" s="469">
        <f t="shared" si="6"/>
        <v>0</v>
      </c>
      <c r="H32" s="469">
        <f t="shared" si="3"/>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heetViews>
  <sheetFormatPr defaultRowHeight="15"/>
  <cols>
    <col min="1" max="1" width="120.85546875" customWidth="1"/>
  </cols>
  <sheetData>
    <row r="1" spans="1:1">
      <c r="A1" s="57" t="s">
        <v>104</v>
      </c>
    </row>
    <row r="2" spans="1:1" ht="38.25" customHeight="1">
      <c r="A2" s="48" t="s">
        <v>109</v>
      </c>
    </row>
    <row r="3" spans="1:1">
      <c r="A3" s="41"/>
    </row>
    <row r="4" spans="1:1" ht="88.5" customHeight="1">
      <c r="A4" s="40" t="s">
        <v>114</v>
      </c>
    </row>
    <row r="5" spans="1:1" ht="26.25" customHeight="1">
      <c r="A5" s="40" t="s">
        <v>112</v>
      </c>
    </row>
    <row r="6" spans="1:1" ht="33.6" customHeight="1">
      <c r="A6" s="42" t="s">
        <v>97</v>
      </c>
    </row>
    <row r="7" spans="1:1" ht="42" customHeight="1">
      <c r="A7" s="42" t="s">
        <v>94</v>
      </c>
    </row>
    <row r="8" spans="1:1" ht="57.75" customHeight="1">
      <c r="A8" s="42" t="s">
        <v>98</v>
      </c>
    </row>
    <row r="9" spans="1:1" ht="40.5" customHeight="1">
      <c r="A9" s="40" t="s">
        <v>96</v>
      </c>
    </row>
    <row r="10" spans="1:1" ht="42.75" customHeight="1">
      <c r="A10" s="42" t="s">
        <v>85</v>
      </c>
    </row>
    <row r="11" spans="1:1" ht="54.75" customHeight="1">
      <c r="A11" s="42" t="s">
        <v>93</v>
      </c>
    </row>
    <row r="12" spans="1:1">
      <c r="A12" s="42" t="s">
        <v>86</v>
      </c>
    </row>
    <row r="13" spans="1:1">
      <c r="A13" s="43" t="s">
        <v>87</v>
      </c>
    </row>
    <row r="14" spans="1:1">
      <c r="A14" s="43" t="s">
        <v>88</v>
      </c>
    </row>
    <row r="15" spans="1:1">
      <c r="A15" s="43" t="s">
        <v>89</v>
      </c>
    </row>
    <row r="16" spans="1:1">
      <c r="A16" s="43" t="s">
        <v>90</v>
      </c>
    </row>
    <row r="17" spans="1:1">
      <c r="A17" s="43" t="s">
        <v>91</v>
      </c>
    </row>
    <row r="18" spans="1:1">
      <c r="A18" s="43" t="s">
        <v>92</v>
      </c>
    </row>
    <row r="19" spans="1:1">
      <c r="A19" s="41"/>
    </row>
    <row r="20" spans="1:1">
      <c r="A20" s="44" t="s">
        <v>95</v>
      </c>
    </row>
    <row r="21" spans="1:1">
      <c r="A21" s="41"/>
    </row>
    <row r="22" spans="1:1" ht="134.25" customHeight="1">
      <c r="A22" s="45" t="s">
        <v>110</v>
      </c>
    </row>
    <row r="23" spans="1:1" ht="15.75">
      <c r="A23" s="49"/>
    </row>
    <row r="24" spans="1:1">
      <c r="A24" s="46" t="s">
        <v>107</v>
      </c>
    </row>
    <row r="25" spans="1:1">
      <c r="A25" s="41"/>
    </row>
    <row r="26" spans="1:1">
      <c r="A26" s="47"/>
    </row>
    <row r="27" spans="1:1">
      <c r="A27" s="47"/>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4D-CDR-2020</vt:lpstr>
      <vt:lpstr>4D 773b 2020</vt:lpstr>
      <vt:lpstr>Release 16 SOF Data Entry</vt:lpstr>
      <vt:lpstr>Tax Rates Early Years</vt:lpstr>
      <vt:lpstr>RPP Calculation</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2020-08-09T00:30:03Z</dcterms:modified>
</cp:coreProperties>
</file>